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T:\Konflikt-Mineralien Dodd-Frank-Act\"/>
    </mc:Choice>
  </mc:AlternateContent>
  <xr:revisionPtr revIDLastSave="0" documentId="13_ncr:1_{D4D10357-04E5-4CFD-9CE8-F986035B80A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721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C15" i="5"/>
  <c r="C16" i="5"/>
  <c r="C17" i="5"/>
  <c r="C18" i="5"/>
  <c r="C19"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<sst xmlns="http://schemas.openxmlformats.org/spreadsheetml/2006/main" count="22174" uniqueCount="15662">
  <si>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</si>
  <si>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</si>
  <si>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</si>
  <si>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</si>
  <si>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</si>
  <si>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</si>
  <si>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</si>
  <si>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</si>
  <si>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</si>
  <si>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</si>
  <si>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</si>
  <si>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</si>
  <si>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</si>
  <si>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</si>
  <si>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</si>
  <si>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</si>
  <si>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</si>
  <si>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</si>
  <si>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</si>
  <si>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</si>
  <si>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</si>
  <si>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</si>
  <si>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</si>
  <si>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</si>
  <si>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</si>
  <si>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</si>
  <si>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</si>
  <si>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</si>
  <si>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</si>
  <si>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</si>
  <si>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</si>
  <si>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</si>
  <si>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</si>
  <si>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</si>
  <si>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</si>
  <si>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</si>
  <si>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</si>
  <si>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</si>
  <si>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</si>
  <si>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</si>
  <si>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</si>
  <si>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</si>
  <si>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</si>
  <si>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</si>
  <si>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</si>
  <si>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</si>
  <si>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</si>
  <si>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</si>
  <si>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</si>
  <si>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</si>
  <si>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</si>
  <si>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</si>
  <si>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</si>
  <si>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</si>
  <si>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</si>
  <si>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</si>
  <si>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</si>
  <si>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</si>
  <si>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</si>
  <si>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</si>
  <si>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</si>
  <si>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</si>
  <si>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</si>
  <si>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</si>
  <si>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</si>
  <si>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</si>
  <si>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</si>
  <si>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</si>
  <si>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</si>
  <si>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</si>
  <si>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</si>
  <si>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</si>
  <si>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</si>
  <si>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</si>
  <si>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</si>
  <si>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</si>
  <si>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</si>
  <si>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</si>
  <si>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</si>
  <si>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</si>
  <si>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</si>
  <si>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</si>
  <si>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</si>
  <si>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</si>
  <si>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</si>
  <si>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</si>
  <si>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</si>
  <si>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</si>
  <si>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</si>
  <si>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</si>
  <si>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</si>
  <si>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</si>
  <si>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</si>
  <si>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</si>
  <si>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</si>
  <si>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</si>
  <si>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</si>
  <si>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</si>
  <si>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</si>
  <si>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</si>
  <si>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</si>
  <si>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</si>
  <si>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</si>
  <si>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</si>
  <si>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</si>
  <si>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</si>
  <si>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</si>
  <si>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</si>
  <si>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</si>
  <si>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</si>
  <si>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</si>
  <si>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</si>
  <si>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</si>
  <si>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</si>
  <si>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</si>
  <si>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</si>
  <si>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</si>
  <si>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</si>
  <si>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</si>
  <si>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</si>
  <si>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</si>
  <si>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</si>
  <si>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</si>
  <si>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</si>
  <si>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</si>
  <si>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</si>
  <si>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</si>
  <si>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</si>
  <si>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</si>
  <si>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</si>
  <si>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</si>
  <si>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</si>
  <si>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</si>
  <si>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</si>
  <si>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</si>
  <si>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</si>
  <si>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</si>
  <si>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</si>
  <si>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</si>
  <si>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</si>
  <si>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</si>
  <si>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</si>
  <si>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</si>
  <si>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</si>
  <si>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</si>
  <si>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</si>
  <si>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</si>
  <si>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</si>
  <si>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</si>
  <si>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</si>
  <si>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</si>
  <si>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</si>
  <si>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</si>
  <si>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</si>
  <si>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</si>
  <si>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</si>
  <si>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</si>
  <si>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</si>
  <si>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</si>
  <si>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</si>
  <si>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</si>
  <si>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</si>
  <si>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</si>
  <si>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</si>
  <si>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</si>
  <si>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</si>
  <si>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</si>
  <si>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</si>
  <si>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</si>
  <si>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</si>
  <si>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</si>
  <si>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</si>
  <si>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</si>
  <si>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</si>
  <si>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</si>
  <si>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</si>
  <si>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</si>
  <si>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</si>
  <si>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</si>
  <si>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</si>
  <si>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</si>
  <si>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</si>
  <si>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</si>
  <si>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</si>
  <si>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</si>
  <si>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</si>
  <si>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</si>
  <si>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</si>
  <si>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</si>
  <si>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</si>
  <si>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</si>
  <si>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</si>
  <si>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</si>
  <si>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</si>
  <si>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</si>
  <si>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</si>
  <si>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</si>
  <si>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</si>
  <si>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</si>
  <si>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</si>
  <si>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</si>
  <si>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</si>
  <si>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</si>
  <si>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</si>
  <si>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</si>
  <si>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</si>
  <si>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</si>
  <si>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</si>
  <si>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</si>
  <si>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</si>
  <si>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</si>
  <si>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</si>
  <si>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</si>
  <si>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</si>
  <si>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</si>
  <si>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</si>
  <si>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</si>
  <si>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</si>
  <si>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</si>
  <si>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</si>
  <si>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</si>
  <si>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</si>
  <si>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</si>
  <si>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</si>
  <si>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</si>
  <si>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</si>
  <si>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</si>
  <si>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</si>
  <si>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</si>
  <si>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</si>
  <si>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</si>
  <si>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</si>
  <si>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</si>
  <si>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</si>
  <si>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</si>
  <si>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</si>
  <si>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</si>
  <si>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</si>
  <si>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</si>
  <si>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</si>
  <si>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</si>
  <si>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</si>
  <si>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</si>
  <si>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</si>
  <si>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</si>
  <si>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</si>
  <si>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</si>
  <si>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</si>
  <si>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</si>
  <si>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</si>
  <si>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</si>
  <si>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</si>
  <si>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</si>
  <si>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</si>
  <si>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</si>
  <si>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</si>
  <si>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</si>
  <si>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</si>
  <si>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</si>
  <si>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</si>
  <si>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</si>
  <si>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</si>
  <si>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</si>
  <si>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</si>
  <si>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</si>
  <si>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</si>
  <si>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</si>
  <si>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</si>
  <si>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</si>
  <si>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</si>
  <si>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</si>
  <si>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</si>
  <si>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</si>
  <si>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</si>
  <si>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</si>
  <si>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</si>
  <si>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</si>
  <si>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</si>
  <si>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</si>
  <si>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</si>
  <si>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</si>
  <si>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</si>
  <si>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</si>
  <si>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</si>
  <si>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</si>
  <si>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</si>
  <si>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</si>
  <si>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</si>
  <si>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</si>
  <si>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</si>
  <si>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</si>
  <si>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</si>
  <si>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</si>
  <si>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</si>
  <si>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</si>
  <si>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</si>
  <si>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</si>
  <si>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</si>
  <si>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</si>
  <si>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</si>
  <si>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</si>
  <si>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</si>
  <si>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</si>
  <si>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</si>
  <si>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</si>
  <si>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</si>
  <si>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</si>
  <si>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</si>
  <si>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</si>
  <si>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</si>
  <si>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</si>
  <si>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</si>
  <si>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</si>
  <si>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</si>
  <si>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</si>
  <si>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</si>
  <si>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</si>
  <si>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</si>
  <si>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</si>
  <si>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</si>
  <si>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</si>
  <si>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</si>
  <si>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</si>
  <si>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</si>
  <si>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</si>
  <si>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</si>
  <si>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</si>
  <si>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</si>
  <si>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</si>
  <si>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</si>
  <si>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</si>
  <si>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</si>
  <si>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</si>
  <si>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</si>
  <si>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</si>
  <si>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</si>
  <si>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</si>
  <si>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</si>
  <si>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</si>
  <si>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</si>
  <si>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</si>
  <si>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</si>
  <si>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</si>
  <si>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</si>
  <si>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</si>
  <si>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</si>
  <si>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</si>
  <si>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</si>
  <si>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</si>
  <si>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</si>
  <si>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</si>
  <si>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</si>
  <si>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</si>
  <si>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</si>
  <si>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</si>
  <si>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</si>
  <si>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</si>
  <si>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</si>
  <si>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</si>
  <si>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</si>
  <si>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</si>
  <si>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</si>
  <si>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</si>
  <si>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</si>
  <si>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</si>
  <si>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</si>
  <si>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</si>
  <si>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</si>
  <si>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</si>
  <si>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</si>
  <si>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</si>
  <si>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</si>
  <si>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</si>
  <si>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</si>
  <si>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</si>
  <si>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</si>
  <si>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</si>
  <si>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</si>
  <si>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</si>
  <si>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</si>
  <si>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</si>
  <si>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</si>
  <si>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</si>
  <si>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</si>
  <si>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</si>
  <si>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</si>
  <si>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</si>
  <si>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</si>
  <si>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</si>
  <si>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</si>
  <si>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</si>
  <si>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</si>
  <si>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</si>
  <si>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</si>
  <si>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</si>
  <si>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</si>
  <si>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</si>
  <si>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</si>
  <si>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</si>
  <si>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</si>
  <si>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</si>
  <si>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</si>
  <si>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</si>
  <si>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</si>
  <si>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</si>
  <si>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</si>
  <si>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</si>
  <si>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</si>
  <si>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</si>
  <si>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</si>
  <si>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</si>
  <si>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</si>
  <si>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</si>
  <si>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</si>
  <si>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</si>
  <si>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</si>
  <si>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</si>
  <si>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</si>
  <si>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</si>
  <si>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</si>
  <si>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</si>
  <si>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</si>
  <si>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</si>
  <si>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</si>
  <si>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</si>
  <si>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</si>
  <si>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</si>
  <si>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</si>
  <si>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</si>
  <si>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</si>
  <si>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</si>
  <si>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</si>
  <si>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</si>
  <si>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</si>
  <si>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</si>
  <si>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</si>
  <si>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</si>
  <si>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</si>
  <si>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</si>
  <si>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</si>
  <si>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</si>
  <si>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</si>
  <si>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</si>
  <si>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</si>
  <si>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</si>
  <si>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</si>
  <si>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</si>
  <si>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</si>
  <si>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</si>
  <si>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</si>
  <si>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</si>
  <si>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</si>
  <si>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</si>
  <si>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</si>
  <si>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</si>
  <si>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</si>
  <si>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</si>
  <si>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</si>
  <si>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</si>
  <si>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</si>
  <si>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</si>
  <si>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</si>
  <si>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</si>
  <si>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</si>
  <si>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</si>
  <si>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</si>
  <si>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</si>
  <si>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</si>
  <si>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</si>
  <si>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</si>
  <si>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</si>
  <si>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</si>
  <si>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</si>
  <si>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</si>
  <si>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</si>
  <si>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</si>
  <si>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</si>
  <si>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</si>
  <si>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</si>
  <si>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</si>
  <si>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</si>
  <si>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</si>
  <si>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</si>
  <si>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</si>
  <si>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</si>
  <si>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</si>
  <si>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</si>
  <si>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</si>
  <si>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</si>
  <si>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</si>
  <si>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</si>
  <si>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</si>
  <si>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</si>
  <si>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</si>
  <si>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</si>
  <si>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</si>
  <si>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</si>
  <si>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</si>
  <si>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</si>
  <si>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</si>
  <si>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</si>
  <si>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</si>
  <si>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</si>
  <si>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</si>
  <si>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</si>
  <si>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</si>
  <si>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</si>
  <si>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</si>
  <si>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</si>
  <si>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</si>
  <si>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</si>
  <si>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</si>
  <si>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</si>
  <si>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</si>
  <si>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</si>
  <si>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</si>
  <si>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</si>
  <si>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</si>
  <si>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</si>
  <si>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</si>
  <si>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</si>
  <si>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</si>
  <si>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</si>
  <si>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</si>
  <si>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</si>
  <si>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</si>
  <si>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</si>
  <si>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</si>
  <si>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</si>
  <si>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</si>
  <si>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</si>
  <si>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</si>
  <si>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</si>
  <si>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</si>
  <si>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</si>
  <si>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</si>
  <si>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</si>
  <si>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</si>
  <si>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</si>
  <si>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</si>
  <si>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</si>
  <si>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</si>
  <si>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</si>
  <si>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</si>
  <si>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</si>
  <si>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</si>
  <si>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</si>
  <si>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</si>
  <si>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</si>
  <si>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</si>
  <si>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</si>
  <si>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</si>
  <si>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</si>
  <si>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</si>
  <si>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</si>
  <si>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</si>
  <si>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</si>
  <si>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</si>
  <si>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</si>
  <si>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</si>
  <si>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</si>
  <si>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</si>
  <si>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</si>
  <si>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</si>
  <si>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</si>
  <si>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</si>
  <si>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</si>
  <si>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</si>
  <si>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</si>
  <si>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</si>
  <si>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</si>
  <si>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</si>
  <si>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</si>
  <si>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</si>
  <si>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</si>
  <si>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</si>
  <si>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</si>
  <si>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</si>
  <si>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</si>
  <si>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</si>
  <si>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</si>
  <si>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</si>
  <si>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</si>
  <si>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</si>
  <si>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</si>
  <si>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</si>
  <si>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</si>
  <si>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</si>
  <si>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</si>
  <si>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</si>
  <si>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</si>
  <si>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</si>
  <si>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</si>
  <si>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</si>
  <si>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</si>
  <si>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</si>
  <si>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</si>
  <si>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</si>
  <si>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</si>
  <si>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</si>
  <si>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</si>
  <si>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</si>
  <si>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</si>
  <si>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</si>
  <si>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</si>
  <si>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</si>
  <si>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</si>
  <si>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</si>
  <si>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</si>
  <si>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</si>
  <si>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</si>
  <si>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</si>
  <si>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</si>
  <si>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</si>
  <si>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</si>
  <si>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</si>
  <si>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</si>
  <si>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</si>
  <si>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</si>
  <si>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</si>
  <si>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</si>
  <si>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</si>
  <si>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</si>
  <si>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</si>
  <si>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</si>
  <si>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</si>
  <si>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</si>
  <si>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</si>
  <si>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</si>
  <si>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</si>
  <si>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</si>
  <si>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</si>
  <si>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</si>
  <si>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</si>
  <si>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</si>
  <si>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</si>
  <si>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</si>
  <si>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</si>
  <si>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</si>
  <si>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</si>
  <si>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</si>
  <si>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</si>
  <si>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</si>
  <si>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</si>
  <si>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</si>
  <si>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</si>
  <si>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</si>
  <si>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</si>
  <si>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</si>
  <si>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</si>
  <si>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</si>
  <si>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</si>
  <si>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</si>
  <si>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</si>
  <si>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</si>
  <si>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</si>
  <si>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</si>
  <si>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</si>
  <si>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</si>
  <si>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</si>
  <si>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</si>
  <si>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</si>
  <si>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</si>
  <si>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</si>
  <si>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</si>
  <si>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</si>
  <si>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</si>
  <si>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</si>
  <si>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</si>
  <si>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</si>
  <si>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</si>
  <si>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</si>
  <si>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</si>
  <si>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</si>
  <si>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</si>
  <si>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</si>
  <si>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</si>
  <si>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</si>
  <si>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</si>
  <si>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</si>
  <si>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</si>
  <si>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</si>
  <si>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</si>
  <si>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</si>
  <si>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</si>
  <si>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</si>
  <si>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</si>
  <si>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</si>
  <si>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</si>
  <si>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</si>
  <si>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</si>
  <si>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</si>
  <si>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</si>
  <si>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</si>
  <si>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</si>
  <si>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</si>
  <si>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</si>
  <si>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</si>
  <si>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</si>
  <si>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</si>
  <si>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</si>
  <si>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</si>
  <si>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</si>
  <si>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</si>
  <si>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</si>
  <si>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</si>
  <si>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</si>
  <si>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</si>
  <si>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</si>
  <si>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</si>
  <si>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</si>
  <si>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</si>
  <si>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</si>
  <si>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</si>
  <si>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</si>
  <si>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</si>
  <si>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</si>
  <si>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</si>
  <si>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</si>
  <si>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</si>
  <si>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</si>
  <si>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</si>
  <si>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</si>
  <si>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</si>
  <si>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</si>
  <si>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</si>
  <si>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</si>
  <si>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</si>
  <si>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</si>
  <si>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</si>
  <si>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</si>
  <si>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</si>
  <si>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</si>
  <si>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</si>
  <si>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</si>
  <si>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</si>
  <si>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</si>
  <si>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</si>
  <si>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</si>
  <si>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</si>
  <si>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</si>
  <si>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</si>
  <si>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</si>
  <si>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</si>
  <si>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</si>
  <si>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</si>
  <si>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</si>
  <si>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</si>
  <si>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</si>
  <si>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</si>
  <si>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</si>
  <si>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</si>
  <si>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</si>
  <si>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</si>
  <si>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</si>
  <si>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</si>
  <si>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</si>
  <si>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</si>
  <si>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</si>
  <si>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</si>
  <si>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</si>
  <si>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</si>
  <si>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</si>
  <si>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</si>
  <si>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</si>
  <si>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</si>
  <si>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</si>
  <si>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</si>
  <si>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</si>
  <si>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</si>
  <si>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</si>
  <si>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</si>
  <si>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</si>
  <si>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</si>
  <si>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</si>
  <si>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</si>
  <si>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</si>
  <si>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</si>
  <si>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</si>
  <si>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</si>
  <si>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</si>
  <si>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</si>
  <si>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</si>
  <si>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</si>
  <si>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</si>
  <si>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</si>
  <si>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</si>
  <si>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</si>
  <si>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</si>
  <si>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</si>
  <si>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</si>
  <si>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</si>
  <si>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</si>
  <si>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</si>
  <si>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</si>
  <si>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</si>
  <si>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</si>
  <si>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</si>
  <si>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</si>
  <si>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</si>
  <si>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</si>
  <si>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</si>
  <si>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</si>
  <si>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</si>
  <si>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</si>
  <si>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</si>
  <si>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</si>
  <si>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</si>
  <si>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</si>
  <si>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</si>
  <si>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</si>
  <si>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</si>
  <si>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</si>
  <si>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</si>
  <si>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</si>
  <si>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</si>
  <si>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</si>
  <si>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</si>
  <si>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</si>
  <si>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</si>
  <si>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</si>
  <si>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</si>
  <si>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</si>
  <si>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</si>
  <si>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</si>
  <si>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</si>
  <si>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</si>
  <si>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</si>
  <si>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</si>
  <si>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</si>
  <si>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</si>
  <si>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</si>
  <si>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</si>
  <si>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</si>
  <si>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</si>
  <si>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</si>
  <si>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</si>
  <si>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</si>
  <si>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</si>
  <si>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</si>
  <si>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</si>
  <si>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</si>
  <si>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</si>
  <si>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</si>
  <si>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</si>
  <si>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</si>
  <si>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</si>
  <si>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</si>
  <si>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</si>
  <si>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</si>
  <si>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</si>
  <si>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</si>
  <si>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</si>
  <si>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</si>
  <si>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</si>
  <si>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</si>
  <si>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</si>
  <si>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</si>
  <si>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</si>
  <si>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</si>
  <si>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</si>
  <si>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</si>
  <si>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</si>
  <si>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</si>
  <si>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</si>
  <si>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</si>
  <si>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</si>
  <si>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</si>
  <si>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</si>
  <si>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</si>
  <si>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</si>
  <si>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</si>
  <si>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</si>
  <si>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</si>
  <si>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</si>
  <si>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</si>
  <si>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</si>
  <si>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</si>
  <si>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</si>
  <si>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</si>
  <si>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</si>
  <si>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</si>
  <si>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</si>
  <si>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</si>
  <si>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</si>
  <si>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</si>
  <si>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</si>
  <si>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</si>
  <si>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</si>
  <si>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</si>
  <si>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</si>
  <si>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</si>
  <si>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</si>
  <si>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</si>
  <si>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</si>
  <si>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</si>
  <si>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</si>
  <si>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</si>
  <si>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</si>
  <si>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</si>
  <si>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</si>
  <si>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</si>
  <si>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</si>
  <si>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</si>
  <si>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</si>
  <si>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</si>
  <si>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</si>
  <si>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</si>
  <si>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</si>
  <si>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</si>
  <si>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</si>
  <si>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</si>
  <si>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</si>
  <si>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</si>
  <si>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</si>
  <si>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</si>
  <si>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</si>
  <si>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</si>
  <si>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</si>
  <si>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</si>
  <si>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</si>
  <si>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</si>
  <si>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</si>
  <si>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</si>
  <si>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</si>
  <si>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</si>
  <si>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</si>
  <si>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</si>
  <si>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</si>
  <si>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</si>
  <si>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</si>
  <si>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</si>
  <si>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</si>
  <si>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</si>
  <si>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</si>
  <si>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</si>
  <si>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</si>
  <si>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</si>
  <si>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</si>
  <si>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</si>
  <si>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</si>
  <si>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</si>
  <si>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</si>
  <si>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</si>
  <si>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</si>
  <si>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</si>
  <si>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</si>
  <si>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</si>
  <si>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</si>
  <si>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</si>
  <si>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</si>
  <si>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</si>
  <si>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</si>
  <si>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</si>
  <si>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</si>
  <si>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</si>
  <si>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</si>
  <si>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</si>
  <si>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</si>
  <si>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</si>
  <si>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</si>
  <si>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</si>
  <si>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</si>
  <si>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</si>
  <si>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</si>
  <si>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</si>
  <si>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</si>
  <si>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</si>
  <si>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</si>
  <si>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</si>
  <si>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</si>
  <si>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</si>
  <si>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</si>
  <si>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</si>
  <si>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</si>
  <si>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</si>
  <si>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</si>
  <si>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</si>
  <si>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</si>
  <si>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</si>
  <si>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</si>
  <si>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</si>
  <si>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</si>
  <si>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</si>
  <si>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</si>
  <si>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</si>
  <si>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</si>
  <si>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</si>
  <si>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</si>
  <si>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</si>
  <si>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</si>
  <si>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</si>
  <si>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</si>
  <si>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</si>
  <si>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</si>
  <si>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</si>
  <si>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</si>
  <si>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</si>
  <si>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</si>
  <si>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</si>
  <si>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</si>
  <si>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</si>
  <si>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</si>
  <si>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</si>
  <si>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</si>
  <si>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</si>
  <si>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</si>
  <si>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</si>
  <si>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</si>
  <si>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</si>
  <si>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</si>
  <si>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</si>
  <si>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</si>
  <si>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</si>
  <si>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</si>
  <si>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</si>
  <si>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</si>
  <si>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</si>
  <si>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</si>
  <si>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</si>
  <si>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</si>
  <si>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</si>
  <si>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</si>
  <si>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</si>
  <si>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</si>
  <si>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</si>
  <si>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</si>
  <si>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</si>
  <si>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</si>
  <si>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</si>
  <si>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</si>
  <si>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</si>
  <si>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</si>
  <si>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</si>
  <si>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</si>
  <si>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</si>
  <si>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</si>
  <si>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</si>
  <si>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</si>
  <si>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</si>
  <si>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</si>
  <si>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</si>
  <si>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</si>
  <si>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</si>
  <si>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</si>
  <si>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</si>
  <si>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</si>
  <si>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</si>
  <si>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</si>
  <si>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</si>
  <si>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</si>
  <si>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</si>
  <si>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</si>
  <si>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</si>
  <si>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</si>
  <si>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</si>
  <si>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</si>
  <si>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</si>
  <si>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</si>
  <si>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</si>
  <si>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</si>
  <si>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</si>
  <si>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</si>
  <si>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</si>
  <si>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</si>
  <si>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</si>
  <si>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</si>
  <si>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</si>
  <si>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</si>
  <si>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</si>
  <si>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</si>
  <si>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</si>
  <si>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</si>
  <si>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</si>
  <si>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</si>
  <si>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</si>
  <si>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</si>
  <si>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</si>
  <si>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</si>
  <si>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</si>
  <si>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</si>
  <si>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</si>
  <si>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</si>
  <si>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</si>
  <si>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</si>
  <si>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</si>
  <si>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</si>
  <si>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</si>
  <si>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</si>
  <si>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</si>
  <si>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</si>
  <si>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</si>
  <si>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</si>
  <si>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</si>
  <si>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</si>
  <si>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</si>
  <si>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</si>
  <si>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</si>
  <si>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</si>
  <si>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</si>
  <si>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</si>
  <si>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</si>
  <si>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</si>
  <si>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</si>
  <si>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</si>
  <si>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</si>
  <si>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</si>
  <si>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</si>
  <si>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</si>
  <si>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</si>
  <si>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</si>
  <si>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</si>
  <si>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</si>
  <si>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</si>
  <si>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</si>
  <si>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</si>
  <si>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</si>
  <si>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</si>
  <si>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</si>
  <si>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</si>
  <si>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</si>
  <si>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</si>
  <si>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</si>
  <si>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</si>
  <si>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</si>
  <si>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</si>
  <si>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</si>
  <si>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</si>
  <si>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</si>
  <si>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</si>
  <si>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</si>
  <si>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</si>
  <si>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</si>
  <si>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</si>
  <si>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</si>
  <si>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</si>
  <si>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</si>
  <si>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</si>
  <si>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</si>
  <si>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</si>
  <si>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</si>
  <si>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</si>
  <si>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</si>
  <si>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</si>
  <si>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</si>
  <si>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</si>
  <si>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</si>
  <si>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</si>
  <si>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</si>
  <si>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</si>
  <si>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</si>
  <si>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</si>
  <si>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</si>
  <si>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</si>
  <si>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</si>
  <si>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</si>
  <si>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</si>
  <si>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</si>
  <si>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</si>
  <si>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</si>
  <si>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</si>
  <si>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</si>
  <si>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</si>
  <si>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</si>
  <si>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</si>
  <si>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</si>
  <si>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</si>
  <si>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</si>
  <si>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</si>
  <si>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</si>
  <si>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</si>
  <si>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</si>
  <si>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</si>
  <si>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</si>
  <si>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</si>
  <si>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</si>
  <si>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</si>
  <si>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</si>
  <si>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</si>
  <si>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</si>
  <si>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</si>
  <si>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</si>
  <si>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</si>
  <si>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</si>
  <si>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</si>
  <si>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</si>
  <si>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</si>
  <si>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</si>
  <si>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</si>
  <si>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</si>
  <si>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</si>
  <si>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</si>
  <si>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</si>
  <si>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</si>
  <si>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</si>
  <si>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</si>
  <si>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</si>
  <si>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</si>
  <si>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</si>
  <si>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</si>
  <si>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</si>
  <si>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</si>
  <si>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</si>
  <si>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</si>
  <si>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</si>
  <si>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</si>
  <si>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</si>
  <si>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</si>
  <si>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</si>
  <si>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</si>
  <si>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</si>
  <si>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</si>
  <si>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</si>
  <si>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</si>
  <si>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</si>
  <si>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</si>
  <si>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</si>
  <si>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</si>
  <si>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</si>
  <si>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</si>
  <si>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</si>
  <si>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</si>
  <si>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</si>
  <si>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</si>
  <si>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</si>
  <si>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</si>
  <si>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</si>
  <si>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</si>
  <si>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</si>
  <si>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</si>
  <si>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</si>
  <si>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</si>
  <si>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</si>
  <si>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</si>
  <si>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</si>
  <si>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</si>
  <si>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</si>
  <si>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</si>
  <si>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</si>
  <si>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</si>
  <si>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</si>
  <si>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</si>
  <si>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</si>
  <si>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</si>
  <si>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</si>
  <si>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</si>
  <si>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</si>
  <si>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</si>
  <si>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</si>
  <si>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</si>
  <si>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</si>
  <si>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</si>
  <si>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</si>
  <si>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</si>
  <si>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</si>
  <si>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</si>
  <si>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</si>
  <si>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</si>
  <si>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</si>
  <si>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</si>
  <si>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</si>
  <si>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</si>
  <si>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</si>
  <si>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</si>
  <si>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</si>
  <si>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</si>
  <si>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</si>
  <si>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</si>
  <si>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</si>
  <si>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</si>
  <si>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</si>
  <si>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</si>
  <si>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</si>
  <si>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</si>
  <si>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</si>
  <si>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</si>
  <si>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</si>
  <si>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</si>
  <si>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</si>
  <si>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</si>
  <si>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</si>
  <si>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</si>
  <si>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</si>
  <si>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</si>
  <si>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</si>
  <si>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</si>
  <si>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</si>
  <si>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</si>
  <si>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</si>
  <si>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</si>
  <si>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</si>
  <si>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</si>
  <si>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</si>
  <si>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</si>
  <si>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</si>
  <si>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</si>
  <si>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</si>
  <si>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</si>
  <si>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</si>
  <si>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</si>
  <si>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</si>
  <si>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</si>
  <si>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</si>
  <si>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</si>
  <si>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</si>
  <si>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</si>
  <si>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</si>
  <si>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</si>
  <si>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</si>
  <si>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</si>
  <si>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</si>
  <si>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</si>
  <si>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</si>
  <si>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</si>
  <si>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</si>
  <si>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</si>
  <si>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</si>
  <si>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</si>
  <si>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</si>
  <si>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</si>
  <si>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</si>
  <si>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</si>
  <si>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</si>
  <si>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</si>
  <si>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</si>
  <si>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</si>
  <si>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</si>
  <si>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</si>
  <si>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</si>
  <si>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</si>
  <si>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</si>
  <si>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</si>
  <si>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</si>
  <si>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</si>
  <si>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</si>
  <si>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</si>
  <si>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</si>
  <si>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</si>
  <si>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</si>
  <si>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</si>
  <si>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</si>
  <si>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</si>
  <si>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</si>
  <si>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</si>
  <si>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</si>
  <si>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</si>
  <si>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</si>
  <si>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</si>
  <si>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</si>
  <si>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</si>
  <si>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</si>
  <si>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</si>
  <si>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</si>
  <si>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</si>
  <si>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</si>
  <si>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</si>
  <si>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</si>
  <si>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</si>
  <si>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</si>
  <si>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</si>
  <si>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</si>
  <si>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</si>
  <si>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</si>
  <si>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</si>
  <si>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</si>
  <si>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</si>
  <si>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</si>
  <si>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</si>
  <si>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</si>
  <si>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</si>
  <si>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</si>
  <si>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</si>
  <si>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</si>
  <si>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</si>
  <si>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</si>
  <si>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</si>
  <si>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</si>
  <si>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</si>
  <si>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</si>
  <si>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</si>
  <si>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</si>
  <si>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</si>
  <si>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</si>
  <si>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</si>
  <si>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</si>
  <si>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</si>
  <si>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</si>
  <si>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</si>
  <si>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</si>
  <si>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</si>
  <si>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</si>
  <si>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</si>
  <si>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</si>
  <si>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</si>
  <si>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</si>
  <si>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</si>
  <si>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</si>
  <si>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</si>
  <si>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</si>
  <si>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</si>
  <si>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</si>
  <si>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</si>
  <si>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</si>
  <si>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</si>
  <si>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</si>
  <si>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</si>
  <si>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</si>
  <si>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</si>
  <si>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</si>
  <si>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</si>
  <si>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</si>
  <si>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</si>
  <si>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</si>
  <si>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</si>
  <si>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</si>
  <si>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</si>
  <si>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</si>
  <si>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</si>
  <si>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</si>
  <si>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</si>
  <si>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</si>
  <si>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</si>
  <si>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</si>
  <si>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</si>
  <si>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</si>
  <si>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</si>
  <si>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</si>
  <si>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</si>
  <si>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</si>
  <si>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</si>
  <si>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</si>
  <si>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</si>
  <si>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</si>
  <si>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</si>
  <si>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</si>
  <si>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</si>
  <si>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</si>
  <si>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</si>
  <si>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</si>
  <si>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</si>
  <si>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</si>
  <si>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</si>
  <si>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</si>
  <si>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</si>
  <si>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</si>
  <si>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</si>
  <si>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</si>
  <si>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</si>
  <si>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</si>
  <si>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</si>
  <si>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</si>
  <si>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</si>
  <si>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</si>
  <si>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</si>
  <si>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</si>
  <si>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</si>
  <si>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</si>
  <si>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</si>
  <si>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</si>
  <si>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</si>
  <si>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</si>
  <si>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</si>
  <si>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</si>
  <si>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</si>
  <si>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</si>
  <si>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</si>
  <si>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</si>
  <si>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</si>
  <si>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</si>
  <si>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</si>
  <si>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</si>
  <si>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</si>
  <si>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</si>
  <si>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</si>
  <si>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</si>
  <si>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</si>
  <si>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</si>
  <si>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</si>
  <si>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</si>
  <si>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</si>
  <si>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</si>
  <si>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</si>
  <si>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</si>
  <si>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</si>
  <si>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</si>
  <si>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</si>
  <si>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</si>
  <si>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</si>
  <si>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</si>
  <si>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</si>
  <si>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</si>
  <si>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</si>
  <si>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</si>
  <si>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</si>
  <si>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</si>
  <si>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</si>
  <si>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</si>
  <si>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</si>
  <si>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</si>
  <si>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</si>
  <si>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</si>
  <si>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</si>
  <si>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</si>
  <si>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</si>
  <si>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</si>
  <si>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</si>
  <si>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</si>
  <si>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</si>
  <si>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</si>
  <si>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</si>
  <si>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</si>
  <si>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</si>
  <si>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</si>
  <si>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</si>
  <si>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</si>
  <si>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</si>
  <si>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</si>
  <si>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</si>
  <si>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</si>
  <si>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</si>
  <si>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</si>
  <si>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</si>
  <si>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</si>
  <si>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</si>
  <si>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</si>
  <si>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</si>
  <si>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</si>
  <si>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</si>
  <si>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</si>
  <si>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</si>
  <si>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</si>
  <si>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</si>
  <si>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</si>
  <si>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</si>
  <si>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</si>
  <si>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</si>
  <si>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</si>
  <si>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</si>
  <si>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</si>
  <si>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</si>
  <si>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</si>
  <si>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</si>
  <si>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</si>
  <si>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</si>
  <si>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</si>
  <si>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</si>
  <si>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</si>
  <si>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</si>
  <si>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</si>
  <si>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</si>
  <si>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</si>
  <si>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</si>
  <si>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</si>
  <si>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</si>
  <si>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</si>
  <si>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</si>
  <si>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</si>
  <si>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</si>
  <si>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</si>
  <si>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</si>
  <si>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</si>
  <si>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</si>
  <si>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</si>
  <si>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</si>
  <si>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</si>
  <si>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</si>
  <si>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</si>
  <si>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</si>
  <si>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</si>
  <si>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</si>
  <si>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</si>
  <si>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</si>
  <si>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</si>
  <si>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</si>
  <si>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</si>
  <si>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</si>
  <si>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</si>
  <si>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</si>
  <si>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</si>
  <si>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</si>
  <si>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</si>
  <si>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</si>
  <si>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</si>
  <si>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</si>
  <si>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</si>
  <si>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</si>
  <si>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</si>
  <si>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</si>
  <si>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</si>
  <si>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</si>
  <si>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</si>
  <si>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</si>
  <si>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</si>
  <si>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</si>
  <si>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</si>
  <si>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</si>
  <si>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</si>
  <si>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</si>
  <si>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</si>
  <si>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</si>
  <si>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</si>
  <si>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</si>
  <si>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</si>
  <si>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</si>
  <si>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</si>
  <si>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</si>
  <si>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</si>
  <si>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</si>
  <si>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</si>
  <si>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</si>
  <si>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</si>
  <si>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</si>
  <si>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</si>
  <si>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</si>
  <si>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</si>
  <si>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</si>
  <si>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</si>
  <si>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</si>
  <si>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</si>
  <si>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</si>
  <si>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</si>
  <si>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</si>
  <si>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</si>
  <si>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</si>
  <si>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</si>
  <si>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</si>
  <si>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</si>
  <si>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</si>
  <si>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</si>
  <si>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</si>
  <si>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</si>
  <si>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</si>
  <si>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</si>
  <si>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</si>
  <si>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</si>
  <si>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</si>
  <si>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</si>
  <si>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</si>
  <si>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</si>
  <si>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</si>
  <si>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</si>
  <si>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</si>
  <si>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</si>
  <si>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</si>
  <si>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</si>
  <si>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</si>
  <si>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</si>
  <si>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</si>
  <si>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</si>
  <si>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</si>
  <si>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</si>
  <si>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</si>
  <si>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</si>
  <si>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</si>
  <si>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</si>
  <si>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</si>
  <si>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</si>
  <si>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</si>
  <si>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</si>
  <si>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</si>
  <si>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</si>
  <si>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</si>
  <si>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</si>
  <si>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</si>
  <si>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</si>
  <si>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</si>
  <si>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</si>
  <si>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</si>
  <si>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</si>
  <si>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</si>
  <si>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</si>
  <si>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</si>
  <si>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</si>
  <si>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</si>
  <si>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</si>
  <si>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</si>
  <si>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</si>
  <si>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</si>
  <si>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</si>
  <si>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</si>
  <si>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</si>
  <si>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</si>
  <si>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</si>
  <si>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</si>
  <si>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</si>
  <si>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</si>
  <si>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</si>
  <si>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</si>
  <si>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</si>
  <si>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</si>
  <si>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</si>
  <si>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</si>
  <si>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</si>
  <si>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</si>
  <si>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</si>
  <si>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</si>
  <si>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</si>
  <si>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</si>
  <si>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</si>
  <si>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</si>
  <si>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</si>
  <si>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</si>
  <si>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</si>
  <si>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</si>
  <si>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</si>
  <si>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</si>
  <si>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</si>
  <si>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</si>
  <si>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</si>
  <si>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</si>
  <si>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</si>
  <si>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</si>
  <si>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</si>
  <si>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</si>
  <si>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</si>
  <si>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</si>
  <si>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</si>
  <si>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</si>
  <si>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</si>
  <si>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</si>
  <si>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</si>
  <si>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</si>
  <si>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</si>
  <si>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</si>
  <si>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</si>
  <si>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</si>
  <si>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</si>
  <si>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</si>
  <si>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</si>
  <si>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</si>
  <si>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</si>
  <si>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</si>
  <si>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</si>
  <si>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</si>
  <si>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</si>
  <si>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</si>
  <si>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</si>
  <si>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</si>
  <si>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</si>
  <si>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</si>
  <si>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</si>
  <si>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</si>
  <si>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</si>
  <si>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</si>
  <si>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</si>
  <si>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</si>
  <si>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</si>
  <si>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</si>
  <si>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</si>
  <si>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</si>
  <si>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</si>
  <si>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</si>
  <si>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</si>
  <si>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</si>
  <si>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</si>
  <si>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</si>
  <si>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</si>
  <si>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</si>
  <si>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</si>
  <si>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</si>
  <si>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</si>
  <si>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</si>
  <si>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</si>
  <si>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</si>
  <si>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</si>
  <si>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</si>
  <si>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</si>
  <si>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</si>
  <si>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</si>
  <si>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</si>
  <si>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</si>
  <si>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</si>
  <si>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</si>
  <si>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</si>
  <si>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</si>
  <si>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</si>
  <si>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</si>
  <si>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</si>
  <si>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</si>
  <si>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</si>
  <si>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</si>
  <si>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</si>
  <si>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</si>
  <si>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</si>
  <si>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</si>
  <si>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</si>
  <si>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</si>
  <si>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</si>
  <si>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</si>
  <si>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</si>
  <si>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</si>
  <si>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</si>
  <si>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</si>
  <si>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</si>
  <si>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</si>
  <si>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</si>
  <si>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</si>
  <si>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</si>
  <si>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</si>
  <si>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</si>
  <si>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</si>
  <si>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</si>
  <si>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</si>
  <si>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</si>
  <si>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</si>
  <si>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</si>
  <si>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</si>
  <si>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</si>
  <si>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</si>
  <si>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</si>
  <si>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</si>
  <si>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</si>
  <si>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</si>
  <si>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</si>
  <si>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</si>
  <si>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</si>
  <si>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</si>
  <si>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</si>
  <si>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</si>
  <si>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</si>
  <si>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</si>
  <si>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</si>
  <si>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</si>
  <si>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</si>
  <si>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</si>
  <si>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</si>
  <si>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</si>
  <si>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</si>
  <si>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</si>
  <si>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</si>
  <si>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</si>
  <si>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</si>
  <si>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</si>
  <si>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</si>
  <si>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</si>
  <si>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</si>
  <si>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</si>
  <si>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</si>
  <si>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</si>
  <si>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</si>
  <si>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</si>
  <si>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</si>
  <si>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</si>
  <si>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</si>
  <si>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</si>
  <si>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</si>
  <si>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</si>
  <si>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</si>
  <si>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</si>
  <si>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</si>
  <si>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</si>
  <si>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</si>
  <si>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</si>
  <si>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</si>
  <si>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</si>
  <si>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</si>
  <si>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</si>
  <si>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</si>
  <si>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</si>
  <si>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</si>
  <si>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</si>
  <si>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</si>
  <si>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</si>
  <si>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</si>
  <si>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</si>
  <si>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</si>
  <si>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</si>
  <si>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</si>
  <si>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</si>
  <si>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</si>
  <si>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</si>
  <si>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</si>
  <si>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</si>
  <si>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</si>
  <si>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</si>
  <si>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</si>
  <si>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</si>
  <si>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</si>
  <si>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</si>
  <si>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</si>
  <si>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</si>
  <si>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</si>
  <si>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</si>
  <si>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</si>
  <si>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</si>
  <si>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</si>
  <si>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</si>
  <si>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</si>
  <si>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</si>
  <si>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</si>
  <si>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</si>
  <si>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</si>
  <si>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</si>
  <si>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</si>
  <si>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</si>
  <si>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</si>
  <si>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</si>
  <si>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</si>
  <si>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</si>
  <si>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</si>
  <si>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</si>
  <si>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</si>
  <si>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</si>
  <si>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</si>
  <si>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</si>
  <si>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</si>
  <si>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</si>
  <si>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</si>
  <si>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</si>
  <si>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</si>
  <si>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</si>
  <si>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</si>
  <si>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</si>
  <si>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</si>
  <si>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</si>
  <si>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</si>
  <si>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</si>
  <si>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</si>
  <si>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</si>
  <si>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</si>
  <si>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</si>
  <si>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</si>
  <si>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</si>
  <si>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</si>
  <si>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</si>
  <si>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</si>
  <si>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</si>
  <si>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</si>
  <si>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</si>
  <si>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</si>
  <si>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</si>
  <si>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</si>
  <si>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</si>
  <si>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</si>
  <si>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</si>
  <si>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</si>
  <si>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</si>
  <si>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</si>
  <si>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</si>
  <si>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</si>
  <si>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</si>
  <si>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</si>
  <si>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</si>
  <si>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</si>
  <si>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</si>
  <si>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</si>
  <si>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</si>
  <si>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</si>
  <si>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</si>
  <si>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</si>
  <si>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</si>
  <si>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</si>
  <si>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</si>
  <si>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</si>
  <si>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</si>
  <si>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</si>
  <si>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</si>
  <si>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</si>
  <si>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</si>
  <si>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</si>
  <si>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</si>
  <si>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</si>
  <si>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</si>
  <si>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</si>
  <si>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</si>
  <si>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</si>
  <si>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</si>
  <si>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</si>
  <si>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</si>
  <si>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</si>
  <si>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</si>
  <si>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</si>
  <si>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</si>
  <si>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</si>
  <si>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</si>
  <si>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</si>
  <si>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</si>
  <si>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</si>
  <si>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</si>
  <si>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</si>
  <si>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</si>
  <si>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</si>
  <si>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</si>
  <si>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</si>
  <si>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</si>
  <si>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</si>
  <si>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</si>
  <si>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</si>
  <si>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</si>
  <si>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</si>
  <si>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</si>
  <si>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</si>
  <si>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</si>
  <si>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</si>
  <si>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</si>
  <si>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</si>
  <si>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</si>
  <si>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</si>
  <si>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</si>
  <si>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</si>
  <si>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</si>
  <si>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</si>
  <si>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</si>
  <si>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</si>
  <si>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</si>
  <si>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</si>
  <si>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</si>
  <si>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</si>
  <si>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</si>
  <si>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</si>
  <si>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</si>
  <si>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</si>
  <si>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</si>
  <si>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</si>
  <si>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</si>
  <si>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</si>
  <si>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</si>
  <si>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</si>
  <si>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</si>
  <si>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</si>
  <si>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</si>
  <si>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</si>
  <si>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</si>
  <si>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</si>
  <si>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</si>
  <si>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</si>
  <si>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</si>
  <si>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</si>
  <si>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</si>
  <si>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</si>
  <si>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</si>
  <si>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</si>
  <si>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</si>
  <si>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</si>
  <si>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</si>
  <si>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</si>
  <si>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</si>
  <si>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</si>
  <si>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</si>
  <si>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</si>
  <si>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</si>
  <si>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</si>
  <si>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</si>
  <si>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</si>
  <si>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</si>
  <si>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</si>
  <si>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</si>
  <si>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</si>
  <si>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</si>
  <si>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</si>
  <si>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</si>
  <si>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</si>
  <si>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</si>
  <si>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</si>
  <si>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</si>
  <si>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</si>
  <si>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</si>
  <si>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</si>
  <si>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</si>
  <si>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</si>
  <si>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</si>
  <si>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</si>
  <si>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</si>
  <si>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</si>
  <si>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</si>
  <si>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</si>
  <si>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</si>
  <si>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</si>
  <si>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</si>
  <si>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</si>
  <si>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</si>
  <si>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</si>
  <si>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</si>
  <si>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</si>
  <si>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</si>
  <si>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</si>
  <si>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</si>
  <si>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</si>
  <si>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</si>
  <si>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</si>
  <si>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</si>
  <si>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</si>
  <si>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</si>
  <si>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</si>
  <si>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</si>
  <si>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</si>
  <si>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</si>
  <si>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</si>
  <si>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</si>
  <si>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</si>
  <si>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</si>
  <si>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</si>
  <si>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</si>
  <si>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</si>
  <si>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</si>
  <si>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</si>
  <si>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</si>
  <si>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</si>
  <si>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</si>
  <si>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</si>
  <si>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</si>
  <si>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</si>
  <si>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</si>
  <si>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</si>
  <si>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</si>
  <si>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</si>
  <si>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</si>
  <si>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</si>
  <si>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</si>
  <si>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</si>
  <si>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</si>
  <si>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</si>
  <si>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</si>
  <si>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</si>
  <si>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</si>
  <si>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</si>
  <si>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</si>
  <si>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</si>
  <si>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</si>
  <si>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</si>
  <si>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</si>
  <si>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</si>
  <si>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</si>
  <si>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</si>
  <si>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</si>
  <si>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</si>
  <si>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</si>
  <si>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</si>
  <si>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</si>
  <si>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</si>
  <si>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</si>
  <si>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</si>
  <si>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</si>
  <si>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</si>
  <si>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</si>
  <si>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</si>
  <si>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</si>
  <si>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</si>
  <si>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</si>
  <si>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</si>
  <si>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</si>
  <si>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</si>
  <si>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</si>
  <si>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</si>
  <si>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</si>
  <si>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</si>
  <si>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</si>
  <si>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</si>
  <si>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</si>
  <si>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</si>
  <si>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</si>
  <si>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</si>
  <si>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</si>
  <si>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</si>
  <si>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</si>
  <si>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</si>
  <si>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</si>
  <si>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</si>
  <si>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</si>
  <si>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</si>
  <si>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</si>
  <si>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</si>
  <si>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</si>
  <si>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</si>
  <si>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</si>
  <si>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</si>
  <si>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</si>
  <si>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</si>
  <si>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</si>
  <si>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</si>
  <si>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</si>
  <si>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</si>
  <si>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</si>
  <si>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</si>
  <si>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</si>
  <si>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</si>
  <si>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</si>
  <si>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</si>
  <si>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</si>
  <si>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</si>
  <si>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</si>
  <si>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</si>
  <si>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</si>
  <si>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</si>
  <si>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</si>
  <si>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</si>
  <si>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</si>
  <si>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</si>
  <si>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</si>
  <si>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</si>
  <si>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</si>
  <si>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</si>
  <si>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</si>
  <si>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</si>
  <si>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</si>
  <si>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</si>
  <si>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</si>
  <si>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</si>
  <si>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</si>
  <si>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</si>
  <si>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</si>
  <si>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</si>
  <si>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</si>
  <si>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</si>
  <si>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</si>
  <si>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</si>
  <si>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</si>
  <si>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</si>
  <si>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</si>
  <si>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</si>
  <si>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</si>
  <si>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</si>
  <si>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</si>
  <si>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</si>
  <si>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</si>
  <si>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</si>
  <si>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</si>
  <si>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</si>
  <si>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</si>
  <si>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</si>
  <si>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</si>
  <si>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</si>
  <si>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</si>
  <si>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</si>
  <si>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</si>
  <si>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</si>
  <si>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</si>
  <si>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</si>
  <si>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</si>
  <si>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</si>
  <si>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</si>
  <si>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</si>
  <si>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</si>
  <si>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</si>
  <si>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</si>
  <si>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</si>
  <si>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</si>
  <si>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</si>
  <si>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</si>
  <si>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</si>
  <si>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</si>
  <si>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</si>
  <si>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</si>
  <si>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</si>
  <si>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</si>
  <si>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</si>
  <si>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</si>
  <si>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</si>
  <si>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</si>
  <si>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</si>
  <si>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</si>
  <si>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</si>
  <si>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</si>
  <si>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</si>
  <si>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</si>
  <si>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</si>
  <si>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</si>
  <si>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</si>
  <si>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</si>
  <si>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</si>
  <si>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</si>
  <si>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</si>
  <si>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</si>
  <si>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</si>
  <si>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</si>
  <si>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</si>
  <si>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</si>
  <si>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</si>
  <si>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</si>
  <si>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</si>
  <si>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</si>
  <si>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</si>
  <si>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</si>
  <si>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</si>
  <si>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</si>
  <si>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</si>
  <si>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</si>
  <si>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</si>
  <si>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</si>
  <si>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</si>
  <si>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</si>
  <si>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</si>
  <si>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</si>
  <si>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</si>
  <si>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</si>
  <si>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</si>
  <si>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</si>
  <si>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</si>
  <si>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</si>
  <si>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</si>
  <si>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</si>
  <si>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</si>
  <si>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</si>
  <si>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</si>
  <si>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</si>
  <si>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</si>
  <si>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</si>
  <si>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</si>
  <si>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</si>
  <si>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</si>
  <si>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</si>
  <si>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</si>
  <si>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</si>
  <si>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</si>
  <si>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</si>
  <si>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</si>
  <si>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</si>
  <si>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</si>
  <si>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</si>
  <si>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</si>
  <si>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</si>
  <si>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</si>
  <si>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</si>
  <si>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</si>
  <si>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</si>
  <si>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</si>
  <si>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</si>
  <si>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</si>
  <si>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</si>
  <si>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</si>
  <si>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</si>
  <si>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</si>
  <si>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</si>
  <si>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</si>
  <si>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</si>
  <si>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</si>
  <si>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</si>
  <si>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</si>
  <si>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</si>
  <si>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</si>
  <si>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</si>
  <si>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</si>
  <si>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</si>
  <si>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</si>
  <si>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</si>
  <si>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</si>
  <si>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</si>
  <si>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</si>
  <si>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</si>
  <si>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</si>
  <si>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</si>
  <si>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</si>
  <si>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</si>
  <si>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</si>
  <si>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</si>
  <si>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</si>
  <si>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</si>
  <si>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</si>
  <si>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</si>
  <si>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</si>
  <si>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</si>
  <si>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</si>
  <si>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</si>
  <si>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</si>
  <si>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</si>
  <si>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</si>
  <si>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</si>
  <si>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</si>
  <si>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</si>
  <si>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</si>
  <si>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</si>
  <si>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</si>
  <si>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</si>
  <si>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</si>
  <si>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</si>
  <si>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</si>
  <si>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</si>
  <si>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</si>
  <si>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</si>
  <si>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</si>
  <si>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</si>
  <si>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</si>
  <si>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</si>
  <si>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</si>
  <si>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</si>
  <si>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</si>
  <si>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</si>
  <si>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</si>
  <si>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</si>
  <si>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</si>
  <si>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</si>
  <si>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</si>
  <si>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</si>
  <si>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</si>
  <si>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</si>
  <si>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</si>
  <si>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</si>
  <si>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</si>
  <si>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</si>
  <si>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</si>
  <si>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</si>
  <si>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</si>
  <si>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</si>
  <si>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</si>
  <si>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</si>
  <si>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</si>
  <si>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</si>
  <si>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</si>
  <si>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</si>
  <si>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</si>
  <si>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</si>
  <si>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</si>
  <si>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</si>
  <si>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</si>
  <si>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</si>
  <si>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</si>
  <si>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</si>
  <si>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</si>
  <si>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</si>
  <si>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</si>
  <si>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</si>
  <si>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</si>
  <si>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</si>
  <si>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</si>
  <si>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</si>
  <si>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</si>
  <si>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</si>
  <si>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</si>
  <si>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</si>
  <si>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</si>
  <si>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</si>
  <si>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</si>
  <si>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</si>
  <si>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</si>
  <si>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</si>
  <si>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</si>
  <si>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</si>
  <si>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</si>
  <si>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</si>
  <si>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</si>
  <si>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</si>
  <si>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</si>
  <si>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</si>
  <si>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</si>
  <si>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</si>
  <si>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</si>
  <si>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</si>
  <si>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</si>
  <si>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</si>
  <si>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</si>
  <si>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</si>
  <si>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</si>
  <si>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</si>
  <si>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</si>
  <si>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</si>
  <si>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</si>
  <si>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</si>
  <si>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</si>
  <si>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</si>
  <si>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</si>
  <si>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</si>
  <si>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</si>
  <si>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</si>
  <si>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</si>
  <si>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</si>
  <si>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</si>
  <si>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</si>
  <si>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</si>
  <si>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</si>
  <si>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</si>
  <si>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</si>
  <si>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</si>
  <si>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</si>
  <si>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</si>
  <si>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</si>
  <si>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</si>
  <si>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</si>
  <si>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</si>
  <si>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</si>
  <si>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</si>
  <si>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</si>
  <si>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</si>
  <si>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</si>
  <si>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</si>
  <si>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</si>
  <si>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</si>
  <si>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</si>
  <si>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</si>
  <si>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</si>
  <si>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</si>
  <si>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</si>
  <si>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</si>
  <si>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</si>
  <si>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</si>
  <si>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</si>
  <si>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</si>
  <si>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</si>
  <si>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</si>
  <si>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</si>
  <si>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</si>
  <si>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</si>
  <si>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</si>
  <si>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</si>
  <si>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</si>
  <si>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</si>
  <si>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</si>
  <si>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</si>
  <si>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</si>
  <si>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</si>
  <si>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</si>
  <si>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</si>
  <si>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</si>
  <si>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</si>
  <si>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</si>
  <si>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</si>
  <si>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</si>
  <si>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</si>
  <si>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</si>
  <si>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</si>
  <si>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</si>
  <si>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</si>
  <si>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</si>
  <si>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</si>
  <si>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</si>
  <si>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</si>
  <si>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</si>
  <si>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</si>
  <si>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</si>
  <si>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</si>
  <si>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</si>
  <si>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</si>
  <si>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</si>
  <si>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</si>
  <si>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</si>
  <si>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</si>
  <si>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</si>
  <si>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</si>
  <si>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</si>
  <si>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</si>
  <si>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</si>
  <si>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</si>
  <si>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</si>
  <si>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</si>
  <si>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</si>
  <si>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</si>
  <si>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</si>
  <si>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</si>
  <si>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</si>
  <si>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</si>
  <si>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</si>
  <si>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</si>
  <si>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</si>
  <si>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</si>
  <si>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</si>
  <si>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</si>
  <si>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</si>
  <si>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</si>
  <si>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</si>
  <si>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</si>
  <si>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</si>
  <si>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</si>
  <si>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</si>
  <si>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</si>
  <si>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</si>
  <si>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</si>
  <si>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</si>
  <si>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</si>
  <si>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</si>
  <si>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</si>
  <si>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</si>
  <si>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</si>
  <si>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</si>
  <si>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</si>
  <si>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</si>
  <si>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</si>
  <si>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</si>
  <si>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</si>
  <si>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</si>
  <si>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</si>
  <si>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</si>
  <si>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</si>
  <si>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</si>
  <si>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</si>
  <si>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</si>
  <si>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</si>
  <si>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</si>
  <si>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</si>
  <si>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</si>
  <si>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</si>
  <si>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</si>
  <si>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</si>
  <si>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</si>
  <si>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</si>
  <si>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</si>
  <si>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</si>
  <si>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</si>
  <si>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</si>
  <si>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</si>
  <si>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</si>
  <si>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</si>
  <si>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</si>
  <si>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</si>
  <si>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</si>
  <si>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</si>
  <si>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</si>
  <si>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</si>
  <si>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</si>
  <si>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</si>
  <si>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</si>
  <si>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</si>
  <si>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</si>
  <si>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</si>
  <si>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</si>
  <si>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</si>
  <si>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</si>
  <si>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</si>
  <si>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</si>
  <si>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</si>
  <si>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</si>
  <si>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</si>
  <si>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</si>
  <si>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</si>
  <si>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</si>
  <si>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</si>
  <si>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</si>
  <si>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</si>
  <si>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</si>
  <si>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</si>
  <si>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</si>
  <si>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</si>
  <si>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</si>
  <si>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</si>
  <si>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</si>
  <si>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</si>
  <si>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</si>
  <si>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</si>
  <si>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</si>
  <si>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</si>
  <si>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</si>
  <si>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</si>
  <si>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</si>
  <si>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</si>
  <si>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</si>
  <si>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</si>
  <si>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</si>
  <si>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</si>
  <si>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</si>
  <si>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</si>
  <si>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</si>
  <si>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</si>
  <si>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</si>
  <si>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</si>
  <si>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</si>
  <si>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</si>
  <si>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</si>
  <si>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</si>
  <si>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</si>
  <si>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</si>
  <si>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</si>
  <si>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</si>
  <si>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</si>
  <si>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</si>
  <si>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</si>
  <si>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</si>
  <si>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</si>
  <si>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</si>
  <si>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</si>
  <si>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</si>
  <si>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</si>
  <si>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</si>
  <si>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</si>
  <si>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</si>
  <si>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</si>
  <si>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</si>
  <si>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</si>
  <si>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</si>
  <si>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</si>
  <si>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</si>
  <si>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</si>
  <si>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</si>
  <si>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</si>
  <si>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</si>
  <si>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</si>
  <si>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</si>
  <si>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</si>
  <si>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</si>
  <si>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</si>
  <si>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</si>
  <si>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</si>
  <si>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</si>
  <si>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</si>
  <si>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</si>
  <si>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</si>
  <si>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</si>
  <si>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</si>
  <si>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</si>
  <si>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</si>
  <si>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</si>
  <si>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</si>
  <si>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</si>
  <si>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</si>
  <si>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</si>
  <si>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</si>
  <si>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</si>
  <si>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</si>
  <si>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</si>
  <si>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</si>
  <si>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</si>
  <si>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</si>
  <si>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</si>
  <si>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</si>
  <si>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</si>
  <si>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</si>
  <si>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</si>
  <si>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</si>
  <si>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</si>
  <si>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</si>
  <si>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</si>
  <si>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</si>
  <si>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</si>
  <si>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</si>
  <si>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</si>
  <si>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</si>
  <si>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</si>
  <si>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</si>
  <si>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</si>
  <si>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</si>
  <si>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</si>
  <si>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</si>
  <si>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</si>
  <si>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</si>
  <si>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</si>
  <si>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</si>
  <si>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</si>
  <si>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</si>
  <si>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</si>
  <si>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</si>
  <si>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</si>
  <si>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</si>
  <si>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</si>
  <si>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</si>
  <si>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</si>
  <si>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</si>
  <si>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</si>
  <si>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</si>
  <si>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</si>
  <si>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</si>
  <si>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</si>
  <si>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</si>
  <si>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</si>
  <si>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</si>
  <si>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</si>
  <si>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</si>
  <si>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</si>
  <si>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</si>
  <si>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</si>
  <si>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</si>
  <si>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</si>
  <si>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</si>
  <si>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</si>
  <si>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</si>
  <si>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</si>
  <si>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</si>
  <si>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</si>
  <si>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</si>
  <si>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</si>
  <si>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</si>
  <si>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</si>
  <si>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</si>
  <si>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</si>
  <si>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</si>
  <si>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</si>
  <si>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</si>
  <si>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</si>
  <si>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</si>
  <si>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</si>
  <si>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</si>
  <si>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</si>
  <si>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</si>
  <si>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</si>
  <si>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</si>
  <si>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</si>
  <si>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</si>
  <si>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</si>
  <si>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</si>
  <si>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</si>
  <si>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</si>
  <si>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</si>
  <si>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</si>
  <si>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</si>
  <si>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</si>
  <si>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</si>
  <si>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</si>
  <si>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</si>
  <si>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</si>
  <si>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</si>
  <si>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</si>
  <si>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</si>
  <si>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</si>
  <si>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</si>
  <si>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</si>
  <si>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</si>
  <si>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</si>
  <si>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</si>
  <si>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</si>
  <si>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</si>
  <si>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</si>
  <si>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</si>
  <si>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</si>
  <si>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</si>
  <si>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</si>
  <si>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</si>
  <si>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</si>
  <si>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</si>
  <si>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</si>
  <si>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</si>
  <si>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</si>
  <si>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</si>
  <si>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</si>
  <si>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</si>
  <si>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</si>
  <si>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</si>
  <si>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</si>
  <si>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</si>
  <si>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</si>
  <si>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</si>
  <si>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</si>
  <si>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</si>
  <si>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</si>
  <si>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</si>
  <si>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</si>
  <si>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</si>
  <si>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</si>
  <si>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</si>
  <si>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</si>
  <si>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</si>
  <si>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</si>
  <si>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</si>
  <si>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</si>
  <si>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</si>
  <si>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</si>
  <si>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</si>
  <si>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</si>
  <si>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</si>
  <si>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</si>
  <si>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</si>
  <si>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</si>
  <si>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</si>
  <si>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</si>
  <si>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</si>
  <si>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</si>
  <si>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</si>
  <si>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</si>
  <si>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</si>
  <si>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</si>
  <si>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</si>
  <si>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</si>
  <si>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</si>
  <si>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</si>
  <si>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</si>
  <si>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</si>
  <si>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</si>
  <si>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</si>
  <si>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</si>
  <si>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</si>
  <si>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</si>
  <si>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</si>
  <si>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</si>
  <si>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</si>
  <si>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</si>
  <si>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</si>
  <si>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</si>
  <si>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</si>
  <si>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</si>
  <si>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</si>
  <si>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</si>
  <si>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</si>
  <si>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</si>
  <si>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</si>
  <si>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</si>
  <si>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</si>
  <si>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</si>
  <si>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</si>
  <si>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</si>
  <si>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</si>
  <si>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</si>
  <si>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</si>
  <si>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</si>
  <si>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</si>
  <si>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</si>
  <si>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</si>
  <si>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</si>
  <si>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</si>
  <si>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</si>
  <si>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</si>
  <si>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</si>
  <si>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</si>
  <si>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</si>
  <si>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</si>
  <si>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</si>
  <si>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</si>
  <si>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</si>
  <si>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</si>
  <si>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</si>
  <si>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</si>
  <si>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</si>
  <si>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</si>
  <si>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</si>
  <si>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</si>
  <si>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</si>
  <si>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</si>
  <si>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</si>
  <si>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</si>
  <si>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</si>
  <si>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</si>
  <si>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</si>
  <si>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</si>
  <si>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</si>
  <si>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</si>
  <si>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</si>
  <si>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</si>
  <si>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</si>
  <si>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</si>
  <si>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</si>
  <si>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</si>
  <si>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</si>
  <si>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</si>
  <si>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</si>
  <si>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</si>
  <si>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</si>
  <si>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</si>
  <si>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</si>
  <si>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</si>
  <si>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</si>
  <si>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</si>
  <si>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</si>
  <si>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</si>
  <si>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</si>
  <si>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</si>
  <si>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</si>
  <si>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</si>
  <si>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</si>
  <si>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</si>
  <si>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</si>
  <si>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</si>
  <si>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</si>
  <si>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</si>
  <si>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</si>
  <si>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</si>
  <si>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</si>
  <si>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</si>
  <si>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</si>
  <si>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</si>
  <si>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</si>
  <si>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</si>
  <si>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</si>
  <si>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</si>
  <si>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</si>
  <si>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</si>
  <si>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</si>
  <si>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</si>
  <si>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</si>
  <si>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</si>
  <si>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</si>
  <si>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</si>
  <si>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</si>
  <si>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</si>
  <si>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</si>
  <si>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</si>
  <si>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</si>
  <si>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</si>
  <si>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</si>
  <si>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</si>
  <si>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</si>
  <si>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</si>
  <si>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</si>
  <si>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</si>
  <si>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</si>
  <si>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</si>
  <si>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</si>
  <si>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</si>
  <si>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</si>
  <si>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</si>
  <si>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</si>
  <si>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</si>
  <si>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</si>
  <si>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</si>
  <si>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</si>
  <si>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</si>
  <si>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</si>
  <si>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</si>
  <si>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</si>
  <si>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</si>
  <si>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</si>
  <si>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</si>
  <si>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</si>
  <si>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</si>
  <si>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</si>
  <si>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</si>
  <si>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</si>
  <si>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</si>
  <si>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</si>
  <si>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</si>
  <si>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</si>
  <si>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</si>
  <si>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</si>
  <si>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</si>
  <si>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</si>
  <si>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</si>
  <si>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</si>
  <si>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</si>
  <si>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</si>
  <si>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</si>
  <si>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</si>
  <si>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</si>
  <si>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</si>
  <si>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</si>
  <si>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</si>
  <si>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</si>
  <si>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</si>
  <si>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</si>
  <si>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</si>
  <si>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</si>
  <si>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</si>
  <si>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</si>
  <si>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</si>
  <si>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</si>
  <si>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</si>
  <si>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</si>
  <si>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</si>
  <si>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</si>
  <si>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</si>
  <si>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</si>
  <si>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</si>
  <si>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</si>
  <si>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</si>
  <si>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</si>
  <si>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</si>
  <si>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</si>
  <si>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</si>
  <si>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</si>
  <si>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</si>
  <si>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</si>
  <si>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</si>
  <si>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</si>
  <si>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</si>
  <si>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</si>
  <si>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</si>
  <si>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</si>
  <si>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</si>
  <si>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</si>
  <si>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</si>
  <si>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</si>
  <si>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</si>
  <si>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</si>
  <si>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</si>
  <si>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</si>
  <si>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</si>
  <si>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</si>
  <si>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</si>
  <si>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</si>
  <si>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</si>
  <si>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</si>
  <si>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</si>
  <si>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</si>
  <si>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</si>
  <si>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</si>
  <si>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</si>
  <si>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</si>
  <si>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</si>
  <si>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</si>
  <si>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</si>
  <si>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</si>
  <si>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</si>
  <si>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</si>
  <si>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</si>
  <si>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</si>
  <si>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</si>
  <si>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</si>
  <si>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</si>
  <si>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</si>
  <si>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</si>
  <si>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</si>
  <si>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</si>
  <si>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</si>
  <si>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</si>
  <si>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</si>
  <si>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</si>
  <si>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</si>
  <si>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</si>
  <si>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</si>
  <si>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</si>
  <si>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</si>
  <si>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</si>
  <si>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</si>
  <si>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</si>
  <si>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</si>
  <si>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</si>
  <si>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</si>
  <si>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</si>
  <si>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</si>
  <si>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</si>
  <si>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</si>
  <si>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</si>
  <si>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</si>
  <si>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</si>
  <si>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</si>
  <si>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</si>
  <si>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</si>
  <si>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</si>
  <si>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</si>
  <si>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</si>
  <si>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</si>
  <si>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</si>
  <si>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</si>
  <si>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</si>
  <si>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</si>
  <si>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</si>
  <si>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</si>
  <si>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</si>
  <si>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</si>
  <si>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</si>
  <si>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</si>
  <si>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</si>
  <si>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</si>
  <si>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</si>
  <si>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</si>
  <si>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</si>
  <si>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</si>
  <si>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</si>
  <si>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</si>
  <si>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</si>
  <si>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</si>
  <si>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</si>
  <si>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</si>
  <si>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</si>
  <si>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</si>
  <si>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</si>
  <si>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</si>
  <si>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</si>
  <si>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</si>
  <si>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</si>
  <si>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</si>
  <si>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</si>
  <si>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</si>
  <si>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</si>
  <si>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</si>
  <si>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</si>
  <si>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</si>
  <si>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</si>
  <si>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</si>
  <si>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</si>
  <si>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</si>
  <si>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</si>
  <si>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</si>
  <si>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</si>
  <si>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</si>
  <si>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</si>
  <si>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</si>
  <si>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</si>
  <si>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</si>
  <si>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</si>
  <si>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</si>
  <si>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</si>
  <si>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</si>
  <si>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</si>
  <si>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</si>
  <si>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</si>
  <si>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</si>
  <si>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</si>
  <si>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</si>
  <si>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</si>
  <si>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</si>
  <si>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</si>
  <si>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</si>
  <si>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</si>
  <si>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</si>
  <si>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</si>
  <si>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</si>
  <si>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</si>
  <si>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</si>
  <si>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</si>
  <si>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</si>
  <si>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</si>
  <si>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</si>
  <si>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</si>
  <si>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</si>
  <si>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</si>
  <si>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</si>
  <si>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</si>
  <si>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</si>
  <si>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</si>
  <si>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</si>
  <si>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</si>
  <si>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</si>
  <si>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</si>
  <si>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</si>
  <si>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</si>
  <si>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</si>
  <si>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</si>
  <si>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</si>
  <si>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</si>
  <si>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</si>
  <si>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</si>
  <si>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</si>
  <si>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</si>
  <si>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</si>
  <si>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</si>
  <si>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</si>
  <si>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</si>
  <si>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</si>
  <si>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</si>
  <si>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</si>
  <si>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</si>
  <si>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</si>
  <si>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</si>
  <si>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</si>
  <si>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</si>
  <si>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</si>
  <si>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</si>
  <si>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</si>
  <si>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</si>
  <si>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</si>
  <si>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</si>
  <si>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</si>
  <si>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</si>
  <si>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</si>
  <si>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</si>
  <si>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</si>
  <si>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</si>
  <si>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</si>
  <si>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</si>
  <si>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</si>
  <si>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</si>
  <si>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</si>
  <si>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</si>
  <si>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</si>
  <si>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</si>
  <si>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</si>
  <si>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</si>
  <si>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</si>
  <si>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</si>
  <si>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</si>
  <si>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</si>
  <si>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</si>
  <si>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</si>
  <si>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</si>
  <si>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</si>
  <si>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</si>
  <si>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</si>
  <si>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</si>
  <si>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</si>
  <si>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</si>
  <si>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</si>
  <si>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</si>
  <si>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</si>
  <si>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</si>
  <si>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</si>
  <si>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</si>
  <si>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</si>
  <si>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</si>
  <si>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</si>
  <si>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</si>
  <si>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</si>
  <si>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</si>
  <si>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</si>
  <si>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</si>
  <si>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</si>
  <si>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</si>
  <si>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</si>
  <si>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</si>
  <si>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</si>
  <si>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</si>
  <si>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</si>
  <si>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</si>
  <si>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</si>
  <si>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</si>
  <si>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</si>
  <si>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</si>
  <si>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</si>
  <si>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</si>
  <si>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</si>
  <si>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</si>
  <si>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</si>
  <si>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</si>
  <si>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</si>
  <si>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</si>
  <si>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</si>
  <si>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</si>
  <si>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</si>
  <si>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</si>
  <si>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</si>
  <si>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</si>
  <si>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</si>
  <si>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</si>
  <si>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</si>
  <si>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</si>
  <si>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</si>
  <si>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</si>
  <si>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</si>
  <si>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</si>
  <si>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</si>
  <si>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</si>
  <si>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</si>
  <si>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</si>
  <si>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</si>
  <si>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</si>
  <si>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</si>
  <si>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</si>
  <si>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</si>
  <si>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</si>
  <si>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</si>
  <si>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</si>
  <si>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</si>
  <si>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</si>
  <si>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</si>
  <si>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</si>
  <si>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</si>
  <si>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</si>
  <si>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</si>
  <si>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</si>
  <si>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</si>
  <si>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</si>
  <si>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</si>
  <si>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</si>
  <si>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</si>
  <si>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</si>
  <si>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</si>
  <si>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</si>
  <si>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</si>
  <si>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</si>
  <si>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</si>
  <si>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</si>
  <si>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</si>
  <si>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</si>
  <si>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</si>
  <si>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</si>
  <si>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</si>
  <si>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</si>
  <si>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</si>
  <si>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</si>
  <si>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</si>
  <si>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</si>
  <si>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</si>
  <si>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</si>
  <si>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</si>
  <si>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</si>
  <si>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</si>
  <si>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</si>
  <si>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</si>
  <si>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</si>
  <si>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</si>
  <si>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</si>
  <si>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</si>
  <si>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</si>
  <si>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</si>
  <si>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</si>
  <si>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</si>
  <si>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</si>
  <si>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</si>
  <si>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</si>
  <si>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</si>
  <si>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</si>
  <si>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</si>
  <si>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</si>
  <si>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</si>
  <si>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</si>
  <si>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</si>
  <si>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</si>
  <si>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</si>
  <si>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</si>
  <si>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</si>
  <si>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</si>
  <si>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</si>
  <si>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</si>
  <si>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</si>
  <si>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</si>
  <si>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</si>
  <si>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</si>
  <si>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</si>
  <si>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</si>
  <si>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</si>
  <si>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</si>
  <si>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</si>
  <si>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</si>
  <si>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</si>
  <si>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</si>
  <si>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</si>
  <si>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</si>
  <si>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</si>
  <si>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</si>
  <si>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</si>
  <si>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</si>
  <si>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</si>
  <si>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</si>
  <si>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</si>
  <si>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</si>
  <si>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</si>
  <si>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</si>
  <si>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</si>
  <si>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</si>
  <si>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</si>
  <si>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</si>
  <si>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</si>
  <si>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</si>
  <si>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</si>
  <si>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</si>
  <si>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</si>
  <si>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</si>
  <si>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</si>
  <si>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</si>
  <si>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</si>
  <si>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</si>
  <si>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</si>
  <si>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</si>
  <si>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</si>
  <si>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</si>
  <si>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</si>
  <si>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</si>
  <si>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</si>
  <si>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</si>
  <si>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</si>
  <si>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</si>
  <si>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</si>
  <si>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</si>
  <si>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</si>
  <si>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</si>
  <si>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</si>
  <si>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</si>
  <si>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</si>
  <si>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</si>
  <si>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</si>
  <si>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</si>
  <si>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</si>
  <si>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</si>
  <si>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</si>
  <si>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</si>
  <si>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</si>
  <si>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</si>
  <si>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</si>
  <si>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</si>
  <si>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</si>
  <si>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</si>
  <si>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</si>
  <si>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</si>
  <si>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</si>
  <si>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</si>
  <si>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</si>
  <si>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</si>
  <si>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</si>
  <si>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</si>
  <si>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</si>
  <si>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</si>
  <si>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</si>
  <si>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</si>
  <si>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</si>
  <si>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</si>
  <si>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</si>
  <si>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</si>
  <si>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</si>
  <si>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</si>
  <si>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</si>
  <si>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</si>
  <si>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</si>
  <si>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</si>
  <si>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</si>
  <si>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</si>
  <si>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</si>
  <si>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</si>
  <si>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</si>
  <si>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</si>
  <si>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</si>
  <si>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</si>
  <si>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</si>
  <si>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</si>
  <si>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</si>
  <si>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</si>
  <si>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</si>
  <si>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</si>
  <si>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</si>
  <si>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</si>
  <si>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</si>
  <si>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</si>
  <si>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</si>
  <si>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</si>
  <si>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</si>
  <si>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</si>
  <si>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</si>
  <si>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</si>
  <si>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</si>
  <si>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</si>
  <si>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</si>
  <si>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</si>
  <si>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</si>
  <si>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</si>
  <si>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</si>
  <si>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</si>
  <si>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</si>
  <si>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</si>
  <si>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</si>
  <si>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</si>
  <si>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</si>
  <si>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</si>
  <si>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</si>
  <si>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</si>
  <si>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</si>
  <si>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</si>
  <si>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</si>
  <si>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</si>
  <si>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</si>
  <si>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</si>
  <si>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</si>
  <si>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</si>
  <si>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</si>
  <si>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</si>
  <si>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</si>
  <si>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</si>
  <si>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</si>
  <si>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</si>
  <si>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</si>
  <si>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</si>
  <si>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</si>
  <si>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</si>
  <si>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</si>
  <si>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</si>
  <si>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</si>
  <si>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</si>
  <si>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</si>
  <si>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</si>
  <si>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</si>
  <si>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</si>
  <si>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</si>
  <si>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</si>
  <si>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</si>
  <si>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</si>
  <si>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</si>
  <si>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</si>
  <si>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</si>
  <si>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</si>
  <si>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</si>
  <si>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</si>
  <si>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</si>
  <si>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</si>
  <si>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</si>
  <si>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</si>
  <si>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</si>
  <si>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</si>
  <si>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</si>
  <si>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</si>
  <si>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</si>
  <si>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</si>
  <si>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</si>
  <si>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</si>
  <si>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</si>
  <si>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</si>
  <si>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</si>
  <si>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</si>
  <si>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</si>
  <si>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</si>
  <si>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</si>
  <si>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</si>
  <si>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</si>
  <si>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</si>
  <si>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</si>
  <si>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</si>
  <si>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</si>
  <si>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</si>
  <si>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</si>
  <si>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</si>
  <si>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</si>
  <si>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</si>
  <si>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</si>
  <si>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</si>
  <si>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</si>
  <si>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</si>
  <si>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</si>
  <si>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</si>
  <si>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</si>
  <si>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</si>
  <si>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</si>
  <si>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</si>
  <si>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</si>
  <si>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</si>
  <si>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</si>
  <si>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</si>
  <si>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</si>
  <si>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</si>
  <si>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</si>
  <si>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</si>
  <si>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</si>
  <si>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</si>
  <si>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</si>
  <si>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</si>
  <si>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</si>
  <si>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</si>
  <si>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</si>
  <si>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</si>
  <si>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</si>
  <si>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</si>
  <si>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</si>
  <si>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</si>
  <si>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</si>
  <si>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</si>
  <si>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</si>
  <si>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</si>
  <si>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</si>
  <si>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</si>
  <si>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</si>
  <si>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</si>
  <si>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</si>
  <si>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</si>
  <si>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</si>
  <si>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</si>
  <si>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</si>
  <si>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</si>
  <si>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</si>
  <si>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</si>
  <si>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</si>
  <si>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</si>
  <si>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</si>
  <si>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</si>
  <si>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</si>
  <si>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</si>
  <si>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</si>
  <si>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</si>
  <si>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</si>
  <si>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</si>
  <si>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</si>
  <si>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</si>
  <si>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</si>
  <si>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</si>
  <si>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</si>
  <si>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</si>
  <si>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</si>
  <si>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</si>
  <si>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</si>
  <si>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</si>
  <si>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</si>
  <si>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</si>
  <si>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</si>
  <si>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</si>
  <si>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</si>
  <si>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</si>
  <si>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</si>
  <si>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</si>
  <si>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</si>
  <si>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</si>
  <si>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</si>
  <si>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</si>
  <si>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</si>
  <si>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</si>
  <si>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</si>
  <si>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</si>
  <si>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</si>
  <si>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</si>
  <si>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</si>
  <si>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</si>
  <si>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</si>
  <si>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</si>
  <si>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</si>
  <si>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</si>
  <si>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</si>
  <si>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</si>
  <si>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</si>
  <si>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</si>
  <si>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</si>
  <si>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</si>
  <si>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</si>
  <si>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</si>
  <si>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</si>
  <si>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</si>
  <si>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</si>
  <si>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</si>
  <si>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</si>
  <si>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</si>
  <si>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</si>
  <si>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</si>
  <si>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</si>
  <si>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</si>
  <si>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</si>
  <si>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</si>
  <si>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</si>
  <si>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</si>
  <si>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</si>
  <si>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</si>
  <si>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</si>
  <si>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</si>
  <si>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</si>
  <si>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</si>
  <si>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</si>
  <si>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</si>
  <si>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</si>
  <si>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</si>
  <si>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</si>
  <si>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</si>
  <si>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</si>
  <si>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</si>
  <si>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</si>
  <si>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</si>
  <si>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</si>
  <si>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</si>
  <si>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</si>
  <si>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</si>
  <si>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</si>
  <si>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</si>
  <si>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</si>
  <si>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</si>
  <si>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</si>
  <si>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</si>
  <si>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</si>
  <si>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</si>
  <si>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</si>
  <si>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</si>
  <si>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</si>
  <si>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</si>
  <si>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</si>
  <si>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</si>
  <si>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</si>
  <si>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</si>
  <si>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</si>
  <si>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</si>
  <si>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</si>
  <si>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</si>
  <si>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</si>
  <si>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</si>
  <si>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</si>
  <si>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</si>
  <si>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</si>
  <si>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</si>
  <si>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</si>
  <si>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</si>
  <si>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</si>
  <si>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</si>
  <si>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</si>
  <si>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</si>
  <si>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</si>
  <si>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</si>
  <si>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</si>
  <si>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</si>
  <si>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</si>
  <si>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</si>
  <si>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</si>
  <si>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</si>
  <si>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</si>
  <si>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</si>
  <si>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</si>
  <si>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</si>
  <si>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</si>
  <si>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</si>
  <si>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</si>
  <si>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</si>
  <si>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</si>
  <si>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</si>
  <si>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</si>
  <si>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</si>
  <si>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</si>
  <si>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</si>
  <si>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</si>
  <si>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</si>
  <si>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</si>
  <si>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</si>
  <si>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</si>
  <si>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</si>
  <si>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</si>
  <si>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</si>
  <si>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</si>
  <si>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</si>
  <si>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</si>
  <si>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</si>
  <si>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</si>
  <si>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</si>
  <si>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</si>
  <si>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</si>
  <si>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</si>
  <si>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</si>
  <si>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</si>
  <si>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</si>
  <si>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</si>
  <si>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</si>
  <si>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</si>
  <si>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</si>
  <si>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</si>
  <si>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</si>
  <si>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</si>
  <si>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</si>
  <si>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</si>
  <si>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</si>
  <si>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</si>
  <si>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</si>
  <si>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</si>
  <si>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</si>
  <si>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</si>
  <si>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</si>
  <si>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</si>
  <si>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</si>
  <si>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</si>
  <si>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</si>
  <si>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</si>
  <si>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</si>
  <si>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</si>
  <si>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</si>
  <si>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</si>
  <si>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</si>
  <si>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</si>
  <si>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</si>
  <si>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</si>
  <si>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</si>
  <si>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</si>
  <si>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</si>
  <si>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</si>
  <si>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</si>
  <si>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</si>
  <si>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</si>
  <si>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</si>
  <si>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</si>
  <si>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</si>
  <si>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</si>
  <si>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</si>
  <si>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</si>
  <si>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</si>
  <si>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</si>
  <si>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</si>
  <si>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</si>
  <si>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</si>
  <si>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</si>
  <si>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</si>
  <si>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</si>
  <si>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</si>
  <si>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</si>
  <si>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</si>
  <si>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</si>
  <si>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</si>
  <si>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</si>
  <si>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</si>
  <si>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</si>
  <si>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</si>
  <si>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</si>
  <si>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</si>
  <si>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</si>
  <si>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</si>
  <si>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</si>
  <si>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</si>
  <si>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</si>
  <si>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</si>
  <si>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</si>
  <si>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</si>
  <si>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</si>
  <si>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</si>
  <si>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</si>
  <si>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</si>
  <si>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</si>
  <si>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</si>
  <si>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</si>
  <si>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</si>
  <si>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</si>
  <si>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</si>
  <si>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</si>
  <si>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</si>
  <si>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</si>
  <si>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</si>
  <si>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</si>
  <si>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</si>
  <si>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</si>
  <si>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</si>
  <si>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</si>
  <si>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</si>
  <si>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</si>
  <si>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</si>
  <si>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</si>
  <si>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</si>
  <si>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</si>
  <si>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</si>
  <si>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</si>
  <si>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</si>
  <si>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</si>
  <si>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</si>
  <si>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</si>
  <si>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</si>
  <si>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</si>
  <si>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</si>
  <si>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</si>
  <si>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</si>
  <si>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</si>
  <si>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</si>
  <si>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</si>
  <si>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</si>
  <si>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</si>
  <si>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</si>
  <si>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</si>
  <si>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</si>
  <si>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</si>
  <si>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</si>
  <si>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</si>
  <si>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</si>
  <si>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</si>
  <si>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</si>
  <si>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</si>
  <si>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</si>
  <si>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</si>
  <si>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</si>
  <si>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</si>
  <si>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</si>
  <si>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</si>
  <si>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</si>
  <si>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</si>
  <si>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</si>
  <si>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</si>
  <si>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</si>
  <si>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</si>
  <si>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</si>
  <si>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</si>
  <si>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</si>
  <si>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</si>
  <si>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</si>
  <si>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</si>
  <si>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</si>
  <si>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</si>
  <si>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</si>
  <si>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</si>
  <si>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</si>
  <si>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</si>
  <si>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</si>
  <si>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</si>
  <si>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</si>
  <si>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</si>
  <si>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</si>
  <si>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</si>
  <si>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</si>
  <si>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</si>
  <si>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</si>
  <si>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</si>
  <si>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</si>
  <si>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</si>
  <si>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</si>
  <si>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</si>
  <si>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</si>
  <si>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</si>
  <si>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</si>
  <si>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</si>
  <si>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</si>
  <si>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</si>
  <si>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</si>
  <si>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</si>
  <si>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</si>
  <si>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</si>
  <si>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</si>
  <si>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</si>
  <si>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</si>
  <si>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</si>
  <si>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</si>
  <si>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</si>
  <si>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</si>
  <si>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</si>
  <si>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</si>
  <si>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</si>
  <si>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</si>
  <si>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</si>
  <si>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</si>
  <si>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</si>
  <si>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</si>
  <si>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</si>
  <si>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</si>
  <si>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</si>
  <si>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</si>
  <si>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</si>
  <si>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</si>
  <si>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</si>
  <si>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</si>
  <si>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</si>
  <si>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</si>
  <si>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</si>
  <si>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</si>
  <si>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</si>
  <si>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</si>
  <si>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</si>
  <si>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</si>
  <si>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</si>
  <si>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</si>
  <si>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</si>
  <si>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</si>
  <si>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</si>
  <si>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</si>
  <si>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</si>
  <si>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</si>
  <si>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</si>
  <si>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</si>
  <si>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</si>
  <si>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</si>
  <si>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</si>
  <si>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</si>
  <si>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</si>
  <si>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</si>
  <si>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</si>
  <si>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</si>
  <si>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</si>
  <si>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</si>
  <si>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</si>
  <si>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</si>
  <si>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</si>
  <si>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</si>
  <si>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</si>
  <si>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</si>
  <si>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</si>
  <si>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</si>
  <si>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</si>
  <si>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</si>
  <si>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</si>
  <si>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</si>
  <si>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</si>
  <si>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</si>
  <si>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</si>
  <si>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</si>
  <si>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</si>
  <si>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</si>
  <si>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</si>
  <si>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</si>
  <si>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</si>
  <si>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</si>
  <si>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</si>
  <si>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</si>
  <si>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</si>
  <si>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</si>
  <si>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</si>
  <si>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</si>
  <si>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</si>
  <si>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</si>
  <si>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</si>
  <si>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</si>
  <si>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</si>
  <si>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</si>
  <si>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</si>
  <si>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</si>
  <si>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</si>
  <si>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</si>
  <si>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</si>
  <si>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</si>
  <si>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</si>
  <si>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</si>
  <si>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</si>
  <si>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</si>
  <si>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</si>
  <si>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</si>
  <si>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</si>
  <si>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</si>
  <si>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</si>
  <si>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</si>
  <si>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</si>
  <si>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</si>
  <si>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</si>
  <si>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</si>
  <si>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</si>
  <si>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</si>
  <si>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</si>
  <si>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</si>
  <si>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</si>
  <si>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</si>
  <si>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</si>
  <si>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</si>
  <si>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</si>
  <si>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</si>
  <si>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</si>
  <si>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</si>
  <si>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</si>
  <si>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</si>
  <si>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</si>
  <si>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</si>
  <si>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</si>
  <si>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</si>
  <si>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</si>
  <si>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</si>
  <si>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</si>
  <si>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</si>
  <si>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</si>
  <si>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</si>
  <si>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</si>
  <si>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</si>
  <si>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</si>
  <si>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</si>
  <si>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</si>
  <si>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</si>
  <si>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</si>
  <si>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</si>
  <si>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</si>
  <si>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</si>
  <si>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</si>
  <si>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</si>
  <si>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</si>
  <si>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</si>
  <si>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</si>
  <si>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</si>
  <si>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</si>
  <si>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</si>
  <si>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</si>
  <si>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</si>
  <si>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</si>
  <si>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</si>
  <si>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</si>
  <si>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</si>
  <si>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</si>
  <si>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</si>
  <si>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</si>
  <si>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</si>
  <si>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</si>
  <si>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</si>
  <si>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</si>
  <si>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</si>
  <si>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</si>
  <si>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</si>
  <si>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</si>
  <si>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</si>
  <si>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</si>
  <si>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</si>
  <si>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</si>
  <si>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</si>
  <si>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</si>
  <si>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</si>
  <si>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</si>
  <si>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</si>
  <si>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</si>
  <si>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</si>
  <si>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</si>
  <si>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</si>
  <si>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</si>
  <si>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</si>
  <si>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</si>
  <si>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</si>
  <si>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</si>
  <si>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</si>
  <si>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</si>
  <si>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</si>
  <si>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</si>
  <si>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</si>
  <si>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</si>
  <si>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</si>
  <si>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</si>
  <si>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</si>
  <si>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</si>
  <si>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</si>
  <si>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</si>
  <si>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</si>
  <si>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</si>
  <si>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</si>
  <si>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</si>
  <si>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</si>
  <si>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</si>
  <si>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</si>
  <si>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</si>
  <si>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</si>
  <si>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</si>
  <si>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</si>
  <si>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</si>
  <si>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</si>
  <si>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</si>
  <si>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</si>
  <si>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</si>
  <si>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</si>
  <si>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</si>
  <si>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</si>
  <si>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</si>
  <si>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</si>
  <si>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</si>
  <si>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</si>
  <si>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</si>
  <si>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</si>
  <si>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</si>
  <si>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</si>
  <si>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</si>
  <si>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</si>
  <si>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</si>
  <si>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</si>
  <si>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</si>
  <si>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</si>
  <si>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</si>
  <si>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</si>
  <si>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</si>
  <si>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</si>
  <si>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</si>
  <si>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</si>
  <si>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</si>
  <si>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</si>
  <si>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</si>
  <si>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</si>
  <si>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</si>
  <si>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</si>
  <si>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</si>
  <si>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</si>
  <si>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</si>
  <si>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</si>
  <si>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</si>
  <si>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</si>
  <si>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</si>
  <si>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</si>
  <si>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</si>
  <si>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</si>
  <si>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</si>
  <si>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</si>
  <si>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</si>
  <si>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</si>
  <si>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</si>
  <si>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</si>
  <si>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</si>
  <si>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</si>
  <si>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</si>
  <si>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</si>
  <si>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</si>
  <si>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</si>
  <si>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</si>
  <si>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</si>
  <si>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</si>
  <si>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</si>
  <si>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</si>
  <si>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</si>
  <si>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</si>
  <si>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</si>
  <si>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</si>
  <si>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</si>
  <si>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</si>
  <si>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</si>
  <si>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</si>
  <si>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</si>
  <si>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</si>
  <si>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</si>
  <si>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</si>
  <si>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</si>
  <si>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</si>
  <si>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</si>
  <si>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</si>
  <si>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</si>
  <si>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</si>
  <si>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</si>
  <si>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</si>
  <si>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</si>
  <si>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</si>
  <si>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</si>
  <si>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</si>
  <si>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</si>
  <si>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</si>
  <si>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</si>
  <si>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</si>
  <si>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</si>
  <si>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</si>
  <si>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</si>
  <si>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</si>
  <si>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</si>
  <si>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</si>
  <si>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</si>
  <si>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</si>
  <si>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</si>
  <si>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</si>
  <si>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</si>
  <si>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</si>
  <si>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</si>
  <si>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</si>
  <si>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</si>
  <si>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</si>
  <si>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</si>
  <si>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</si>
  <si>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</si>
  <si>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</si>
  <si>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</si>
  <si>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</si>
  <si>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</si>
  <si>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</si>
  <si>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</si>
  <si>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</si>
  <si>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</si>
  <si>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</si>
  <si>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</si>
  <si>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</si>
  <si>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</si>
  <si>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</si>
  <si>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</si>
  <si>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</si>
  <si>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</si>
  <si>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</si>
  <si>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</si>
  <si>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</si>
  <si>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</si>
  <si>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</si>
  <si>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</si>
  <si>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</si>
  <si>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</si>
  <si>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</si>
  <si>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</si>
  <si>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</si>
  <si>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</si>
  <si>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</si>
  <si>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</si>
  <si>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</si>
  <si>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</si>
  <si>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</si>
  <si>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</si>
  <si>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</si>
  <si>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</si>
  <si>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</si>
  <si>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</si>
  <si>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</si>
  <si>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</si>
  <si>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</si>
  <si>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</si>
  <si>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</si>
  <si>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</si>
  <si>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</si>
  <si>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</si>
  <si>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</si>
  <si>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</si>
  <si>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</si>
  <si>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</si>
  <si>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</si>
  <si>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</si>
  <si>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</si>
  <si>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</si>
  <si>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</si>
  <si>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</si>
  <si>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</si>
  <si>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</si>
  <si>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</si>
  <si>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</si>
  <si>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</si>
  <si>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</si>
  <si>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</si>
  <si>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</si>
  <si>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</si>
  <si>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</si>
  <si>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</si>
  <si>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</si>
  <si>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</si>
  <si>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</si>
  <si>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</si>
  <si>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</si>
  <si>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</si>
  <si>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</si>
  <si>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</si>
  <si>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</si>
  <si>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</si>
  <si>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</si>
  <si>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</si>
  <si>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</si>
  <si>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</si>
  <si>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</si>
  <si>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</si>
  <si>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</si>
  <si>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</si>
  <si>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</si>
  <si>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</si>
  <si>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</si>
  <si>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</si>
  <si>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</si>
  <si>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</si>
  <si>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</si>
  <si>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</si>
  <si>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</si>
  <si>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</si>
  <si>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</si>
  <si>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</si>
  <si>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</si>
  <si>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</si>
  <si>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</si>
  <si>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</si>
  <si>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</si>
  <si>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</si>
  <si>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</si>
  <si>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</si>
  <si>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</si>
  <si>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</si>
  <si>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</si>
  <si>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</si>
  <si>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</si>
  <si>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</si>
  <si>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</si>
  <si>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</si>
  <si>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</si>
  <si>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</si>
  <si>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</si>
  <si>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</si>
  <si>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</si>
  <si>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</si>
  <si>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</si>
  <si>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</si>
  <si>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</si>
  <si>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</si>
  <si>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</si>
  <si>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</si>
  <si>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</si>
  <si>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</si>
  <si>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</si>
  <si>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</si>
  <si>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</si>
  <si>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</si>
  <si>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</si>
  <si>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</si>
  <si>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</si>
  <si>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</si>
  <si>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</si>
  <si>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</si>
  <si>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</si>
  <si>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</si>
  <si>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</si>
  <si>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</si>
  <si>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</si>
  <si>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</si>
  <si>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</si>
  <si>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</si>
  <si>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</si>
  <si>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</si>
  <si>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</si>
  <si>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</si>
  <si>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</si>
  <si>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</si>
  <si>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</si>
  <si>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</si>
  <si>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</si>
  <si>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</si>
  <si>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</si>
  <si>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</si>
  <si>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</si>
  <si>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</si>
  <si>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</si>
  <si>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</si>
  <si>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</si>
  <si>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</si>
  <si>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</si>
  <si>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</si>
  <si>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</si>
  <si>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</si>
  <si>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</si>
  <si>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</si>
  <si>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</si>
  <si>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</si>
  <si>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</si>
  <si>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</si>
  <si>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</si>
  <si>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</si>
  <si>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</si>
  <si>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</si>
  <si>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</si>
  <si>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</si>
  <si>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</si>
  <si>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</si>
  <si>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</si>
  <si>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</si>
  <si>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</si>
  <si>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</si>
  <si>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</si>
  <si>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</si>
  <si>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</si>
  <si>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</si>
  <si>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</si>
  <si>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</si>
  <si>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</si>
  <si>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</si>
  <si>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</si>
  <si>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</si>
  <si>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</si>
  <si>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</si>
  <si>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</si>
  <si>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</si>
  <si>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</si>
  <si>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</si>
  <si>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</si>
  <si>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</si>
  <si>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</si>
  <si>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</si>
  <si>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</si>
  <si>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</si>
  <si>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</si>
  <si>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</si>
  <si>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</si>
  <si>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</si>
  <si>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</si>
  <si>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</si>
  <si>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</si>
  <si>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</si>
  <si>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</si>
  <si>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</si>
  <si>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</si>
  <si>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</si>
  <si>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</si>
  <si>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</si>
  <si>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</si>
  <si>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</si>
  <si>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</si>
  <si>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</si>
  <si>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</si>
  <si>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</si>
  <si>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</si>
  <si>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</si>
  <si>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</si>
  <si>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</si>
  <si>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</si>
  <si>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</si>
  <si>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</si>
  <si>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</si>
  <si>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</si>
  <si>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</si>
  <si>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</si>
  <si>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</si>
  <si>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</si>
  <si>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</si>
  <si>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</si>
  <si>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</si>
  <si>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</si>
  <si>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</si>
  <si>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</si>
  <si>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</si>
  <si>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</si>
  <si>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</si>
  <si>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</si>
  <si>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</si>
  <si>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</si>
  <si>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</si>
  <si>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</si>
  <si>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</si>
  <si>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</si>
  <si>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</si>
  <si>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</si>
  <si>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</si>
  <si>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</si>
  <si>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</si>
  <si>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</si>
  <si>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</si>
  <si>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</si>
  <si>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</si>
  <si>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</si>
  <si>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</si>
  <si>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</si>
  <si>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</si>
  <si>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</si>
  <si>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</si>
  <si>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</si>
  <si>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</si>
  <si>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</si>
  <si>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</si>
  <si>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</si>
  <si>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</si>
  <si>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</si>
  <si>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</si>
  <si>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</si>
  <si>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</si>
  <si>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</si>
  <si>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</si>
  <si>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</si>
  <si>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</si>
  <si>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</si>
  <si>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</si>
  <si>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</si>
  <si>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</si>
  <si>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</si>
  <si>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</si>
  <si>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</si>
  <si>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</si>
  <si>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</si>
  <si>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</si>
  <si>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</si>
  <si>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</si>
  <si>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</si>
  <si>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</si>
  <si>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</si>
  <si>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</si>
  <si>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</si>
  <si>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</si>
  <si>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</si>
  <si>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</si>
  <si>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</si>
  <si>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</si>
  <si>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</si>
  <si>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</si>
  <si>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</si>
  <si>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</si>
  <si>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</si>
  <si>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</si>
  <si>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</si>
  <si>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</si>
  <si>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</si>
  <si>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</si>
  <si>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</si>
  <si>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</si>
  <si>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</si>
  <si>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</si>
  <si>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</si>
  <si>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</si>
  <si>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</si>
  <si>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</si>
  <si>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</si>
  <si>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</si>
  <si>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</si>
  <si>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</si>
  <si>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</si>
  <si>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</si>
  <si>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</si>
  <si>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</si>
  <si>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</si>
  <si>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</si>
  <si>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</si>
  <si>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</si>
  <si>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</si>
  <si>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</si>
  <si>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</si>
  <si>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</si>
  <si>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</si>
  <si>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</si>
  <si>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</si>
  <si>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</si>
  <si>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</si>
  <si>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</si>
  <si>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</si>
  <si>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</si>
  <si>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</si>
  <si>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</si>
  <si>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</si>
  <si>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</si>
  <si>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</si>
  <si>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</si>
  <si>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</si>
  <si>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</si>
  <si>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</si>
  <si>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</si>
  <si>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</si>
  <si>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</si>
  <si>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</si>
  <si>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</si>
  <si>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</si>
  <si>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</si>
  <si>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</si>
  <si>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</si>
  <si>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</si>
  <si>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</si>
  <si>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</si>
  <si>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</si>
  <si>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</si>
  <si>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</si>
  <si>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</si>
  <si>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</si>
  <si>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</si>
  <si>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</si>
  <si>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</si>
  <si>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</si>
  <si>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</si>
  <si>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</si>
  <si>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</si>
  <si>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</si>
  <si>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</si>
  <si>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</si>
  <si>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</si>
  <si>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</si>
  <si>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</si>
  <si>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</si>
  <si>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</si>
  <si>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</si>
  <si>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</si>
  <si>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</si>
  <si>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</si>
  <si>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</si>
  <si>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</si>
  <si>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</si>
  <si>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</si>
  <si>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</si>
  <si>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</si>
  <si>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</si>
  <si>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</si>
  <si>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</si>
  <si>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</si>
  <si>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</si>
  <si>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</si>
  <si>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</si>
  <si>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</si>
  <si>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</si>
  <si>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</si>
  <si>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</si>
  <si>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</si>
  <si>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</si>
  <si>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</si>
  <si>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</si>
  <si>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</si>
  <si>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</si>
  <si>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</si>
  <si>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</si>
  <si>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</si>
  <si>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</si>
  <si>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</si>
  <si>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</si>
  <si>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</si>
  <si>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</si>
  <si>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</si>
  <si>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</si>
  <si>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</si>
  <si>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</si>
  <si>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</si>
  <si>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</si>
  <si>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</si>
  <si>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</si>
  <si>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</si>
  <si>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</si>
  <si>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</si>
  <si>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</si>
  <si>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</si>
  <si>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</si>
  <si>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</si>
  <si>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</si>
  <si>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</si>
  <si>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</si>
  <si>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</si>
  <si>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</si>
  <si>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</si>
  <si>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</si>
  <si>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</si>
  <si>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</si>
  <si>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</si>
  <si>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</si>
  <si>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</si>
  <si>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</si>
  <si>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</si>
  <si>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</si>
  <si>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</si>
  <si>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</si>
  <si>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</si>
  <si>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</si>
  <si>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</si>
  <si>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</si>
  <si>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</si>
  <si>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</si>
  <si>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</si>
  <si>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</si>
  <si>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</si>
  <si>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</si>
  <si>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</si>
  <si>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</si>
  <si>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</si>
  <si>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</si>
  <si>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</si>
  <si>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</si>
  <si>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</si>
  <si>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</si>
  <si>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</si>
  <si>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</si>
  <si>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</si>
  <si>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</si>
  <si>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</si>
  <si>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</si>
  <si>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</si>
  <si>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</si>
  <si>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</si>
  <si>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</si>
  <si>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</si>
  <si>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</si>
  <si>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</si>
  <si>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</si>
  <si>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</si>
  <si>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</si>
  <si>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</si>
  <si>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</si>
  <si>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</si>
  <si>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</si>
  <si>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</si>
  <si>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</si>
  <si>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</si>
  <si>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</si>
  <si>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</si>
  <si>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</si>
  <si>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</si>
  <si>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</si>
  <si>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</si>
  <si>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</si>
  <si>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</si>
  <si>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</si>
  <si>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</si>
  <si>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</si>
  <si>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</si>
  <si>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</si>
  <si>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</si>
  <si>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</si>
  <si>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</si>
  <si>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</si>
  <si>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</si>
  <si>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</si>
  <si>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</si>
  <si>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</si>
  <si>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</si>
  <si>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</si>
  <si>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</si>
  <si>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</si>
  <si>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</si>
  <si>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</si>
  <si>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</si>
  <si>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</si>
  <si>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</si>
  <si>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</si>
  <si>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</si>
  <si>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</si>
  <si>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</si>
  <si>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</si>
  <si>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</si>
  <si>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</si>
  <si>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</si>
  <si>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</si>
  <si>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</si>
  <si>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</si>
  <si>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</si>
  <si>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</si>
  <si>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</si>
  <si>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</si>
  <si>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</si>
  <si>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</si>
  <si>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</si>
  <si>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</si>
  <si>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</si>
  <si>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</si>
  <si>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</si>
  <si>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</si>
  <si>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</si>
  <si>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</si>
  <si>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</si>
  <si>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</si>
  <si>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</si>
  <si>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</si>
  <si>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</si>
  <si>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</si>
  <si>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</si>
  <si>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</si>
  <si>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</si>
  <si>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</si>
  <si>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</si>
  <si>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</si>
  <si>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</si>
  <si>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</si>
  <si>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</si>
  <si>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</si>
  <si>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</si>
  <si>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</si>
  <si>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</si>
  <si>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</si>
  <si>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</si>
  <si>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</si>
  <si>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</si>
  <si>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</si>
  <si>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</si>
  <si>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</si>
  <si>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</si>
  <si>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</si>
  <si>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</si>
  <si>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</si>
  <si>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</si>
  <si>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</si>
  <si>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</si>
  <si>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</si>
  <si>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</si>
  <si>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</si>
  <si>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</si>
  <si>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</si>
  <si>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</si>
  <si>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</si>
  <si>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</si>
  <si>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</si>
  <si>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</si>
  <si>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</si>
  <si>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</si>
  <si>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</si>
  <si>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</si>
  <si>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</si>
  <si>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</si>
  <si>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</si>
  <si>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</si>
  <si>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</si>
  <si>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</si>
  <si>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</si>
  <si>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</si>
  <si>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</si>
  <si>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</si>
  <si>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</si>
  <si>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</si>
  <si>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</si>
  <si>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</si>
  <si>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</si>
  <si>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</si>
  <si>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</si>
  <si>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</si>
  <si>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</si>
  <si>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</si>
  <si>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</si>
  <si>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</si>
  <si>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</si>
  <si>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</si>
  <si>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</si>
  <si>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</si>
  <si>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</si>
  <si>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</si>
  <si>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</si>
  <si>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</si>
  <si>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</si>
  <si>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</si>
  <si>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</si>
  <si>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</si>
  <si>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</si>
  <si>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</si>
  <si>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</si>
  <si>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</si>
  <si>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</si>
  <si>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</si>
  <si>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</si>
  <si>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</si>
  <si>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</si>
  <si>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</si>
  <si>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</si>
  <si>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</si>
  <si>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</si>
  <si>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</si>
  <si>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</si>
  <si>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</si>
  <si>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</si>
  <si>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</si>
  <si>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</si>
  <si>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</si>
  <si>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</si>
  <si>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</si>
  <si>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</si>
  <si>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</si>
  <si>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</si>
  <si>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</si>
  <si>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</si>
  <si>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</si>
  <si>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</si>
  <si>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</si>
  <si>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</si>
  <si>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</si>
  <si>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</si>
  <si>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</si>
  <si>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</si>
  <si>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</si>
  <si>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</si>
  <si>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</si>
  <si>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</si>
  <si>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</si>
  <si>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</si>
  <si>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</si>
  <si>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</si>
  <si>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</si>
  <si>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</si>
  <si>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</si>
  <si>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</si>
  <si>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</si>
  <si>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</si>
  <si>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</si>
  <si>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</si>
  <si>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</si>
  <si>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</si>
  <si>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</si>
  <si>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</si>
  <si>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</si>
  <si>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</si>
  <si>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</si>
  <si>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</si>
  <si>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</si>
  <si>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</si>
  <si>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</si>
  <si>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</si>
  <si>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</si>
  <si>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</si>
  <si>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</si>
  <si>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</si>
  <si>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</si>
  <si>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</si>
  <si>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</si>
  <si>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</si>
  <si>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</si>
  <si>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</si>
  <si>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</si>
  <si>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</si>
  <si>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</si>
  <si>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</si>
  <si>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</si>
  <si>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</si>
  <si>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</si>
  <si>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</si>
  <si>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</si>
  <si>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</si>
  <si>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</si>
  <si>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</si>
  <si>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</si>
  <si>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</si>
  <si>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</si>
  <si>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</si>
  <si>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</si>
  <si>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</si>
  <si>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</si>
  <si>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</si>
  <si>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</si>
  <si>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</si>
  <si>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</si>
  <si>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</si>
  <si>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</si>
  <si>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</si>
  <si>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</si>
  <si>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</si>
  <si>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</si>
  <si>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</si>
  <si>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</si>
  <si>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</si>
  <si>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</si>
  <si>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</si>
  <si>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</si>
  <si>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</si>
  <si>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</si>
  <si>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</si>
  <si>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</si>
  <si>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</si>
  <si>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</si>
  <si>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</si>
  <si>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</si>
  <si>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</si>
  <si>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</si>
  <si>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</si>
  <si>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</si>
  <si>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</si>
  <si>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</si>
  <si>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</si>
  <si>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</si>
  <si>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</si>
  <si>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</si>
  <si>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</si>
  <si>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</si>
  <si>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</si>
  <si>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</si>
  <si>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</si>
  <si>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</si>
  <si>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</si>
  <si>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</si>
  <si>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</si>
  <si>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</si>
  <si>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</si>
  <si>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</si>
  <si>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</si>
  <si>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</si>
  <si>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</si>
  <si>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</si>
  <si>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</si>
  <si>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</si>
  <si>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</si>
  <si>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</si>
  <si>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</si>
  <si>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</si>
  <si>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</si>
  <si>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</si>
  <si>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</si>
  <si>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</si>
  <si>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</si>
  <si>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</si>
  <si>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</si>
  <si>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</si>
  <si>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</si>
  <si>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</si>
  <si>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</si>
  <si>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</si>
  <si>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</si>
  <si>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</si>
  <si>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</si>
  <si>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</si>
  <si>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</si>
  <si>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</si>
  <si>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</si>
  <si>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</si>
  <si>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</si>
  <si>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</si>
  <si>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</si>
  <si>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</si>
  <si>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</si>
  <si>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</si>
  <si>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</si>
  <si>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</si>
  <si>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</si>
  <si>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</si>
  <si>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</si>
  <si>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</si>
  <si>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</si>
  <si>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</si>
  <si>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</si>
  <si>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</si>
  <si>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</si>
  <si>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</si>
  <si>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</si>
  <si>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</si>
  <si>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</si>
  <si>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</si>
  <si>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</si>
  <si>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</si>
  <si>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</si>
  <si>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</si>
  <si>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</si>
  <si>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</si>
  <si>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</si>
  <si>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</si>
  <si>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</si>
  <si>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</si>
  <si>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</si>
  <si>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</si>
  <si>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</si>
  <si>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</si>
  <si>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</si>
  <si>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</si>
  <si>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</si>
  <si>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</si>
  <si>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</si>
  <si>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</si>
  <si>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</si>
  <si>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</si>
  <si>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</si>
  <si>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</si>
  <si>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</si>
  <si>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</si>
  <si>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</si>
  <si>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</si>
  <si>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</si>
  <si>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</si>
  <si>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</si>
  <si>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</si>
  <si>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</si>
  <si>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</si>
  <si>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</si>
  <si>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</si>
  <si>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</si>
  <si>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</si>
  <si>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</si>
  <si>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</si>
  <si>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</si>
  <si>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</si>
  <si>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</si>
  <si>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</si>
  <si>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</si>
  <si>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</si>
  <si>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</si>
  <si>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</si>
  <si>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</si>
  <si>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</si>
  <si>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</si>
  <si>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</si>
  <si>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</si>
  <si>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</si>
  <si>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</si>
  <si>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</si>
  <si>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</si>
  <si>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</si>
  <si>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</si>
  <si>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</si>
  <si>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</si>
  <si>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</si>
  <si>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</si>
  <si>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</si>
  <si>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</si>
  <si>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</si>
  <si>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</si>
  <si>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</si>
  <si>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</si>
  <si>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</si>
  <si>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</si>
  <si>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</si>
  <si>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</si>
  <si>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</si>
  <si>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</si>
  <si>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</si>
  <si>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</si>
  <si>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</si>
  <si>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</si>
  <si>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</si>
  <si>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</si>
  <si>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</si>
  <si>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</si>
  <si>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</si>
  <si>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</si>
  <si>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</si>
  <si>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</si>
  <si>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</si>
  <si>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</si>
  <si>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</si>
  <si>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</si>
  <si>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</si>
  <si>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</si>
  <si>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</si>
  <si>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</si>
  <si>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</si>
  <si>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</si>
  <si>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</si>
  <si>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</si>
  <si>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</si>
  <si>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</si>
  <si>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</si>
  <si>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</si>
  <si>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</si>
  <si>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</si>
  <si>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</si>
  <si>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</si>
  <si>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</si>
  <si>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</si>
  <si>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</si>
  <si>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</si>
  <si>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</si>
  <si>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</si>
  <si>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</si>
  <si>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</si>
  <si>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</si>
  <si>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</si>
  <si>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</si>
  <si>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</si>
  <si>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</si>
  <si>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</si>
  <si>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</si>
  <si>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</si>
  <si>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</si>
  <si>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</si>
  <si>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</si>
  <si>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</si>
  <si>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</si>
  <si>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</si>
  <si>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</si>
  <si>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</si>
  <si>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</si>
  <si>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</si>
  <si>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</si>
  <si>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</si>
  <si>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</si>
  <si>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</si>
  <si>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</si>
  <si>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</si>
  <si>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</si>
  <si>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</si>
  <si>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</si>
  <si>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</si>
  <si>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</si>
  <si>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</si>
  <si>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</si>
  <si>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</si>
  <si>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</si>
  <si>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</si>
  <si>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</si>
  <si>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</si>
  <si>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</si>
  <si>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</si>
  <si>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</si>
  <si>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</si>
  <si>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</si>
  <si>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</si>
  <si>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</si>
  <si>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</si>
  <si>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</si>
  <si>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</si>
  <si>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</si>
  <si>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</si>
  <si>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</si>
  <si>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</si>
  <si>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</si>
  <si>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</si>
  <si>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</si>
  <si>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</si>
  <si>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</si>
  <si>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</si>
  <si>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</si>
  <si>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</si>
  <si>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</si>
  <si>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</si>
  <si>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</si>
  <si>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</si>
  <si>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</si>
  <si>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</si>
  <si>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</si>
  <si>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</si>
  <si>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</si>
  <si>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</si>
  <si>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</si>
  <si>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</si>
  <si>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</si>
  <si>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</si>
  <si>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</si>
  <si>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</si>
  <si>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</si>
  <si>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</si>
  <si>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</si>
  <si>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</si>
  <si>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</si>
  <si>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</si>
  <si>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</si>
  <si>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</si>
  <si>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</si>
  <si>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</si>
  <si>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</si>
  <si>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</si>
  <si>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</si>
  <si>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</si>
  <si>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</si>
  <si>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</si>
  <si>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</si>
  <si>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</si>
  <si>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</si>
  <si>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</si>
  <si>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</si>
  <si>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</si>
  <si>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</si>
  <si>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</si>
  <si>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</si>
  <si>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</si>
  <si>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</si>
  <si>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</si>
  <si>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</si>
  <si>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</si>
  <si>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</si>
  <si>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</si>
  <si>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</si>
  <si>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</si>
  <si>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</si>
  <si>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</si>
  <si>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</si>
  <si>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</si>
  <si>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</si>
  <si>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</si>
  <si>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</si>
  <si>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</si>
  <si>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</si>
  <si>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</si>
  <si>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</si>
  <si>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</si>
  <si>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</si>
  <si>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</si>
  <si>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</si>
  <si>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</si>
  <si>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</si>
  <si>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</si>
  <si>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</si>
  <si>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</si>
  <si>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</si>
  <si>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</si>
  <si>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</si>
  <si>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</si>
  <si>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</si>
  <si>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</si>
  <si>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</si>
  <si>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</si>
  <si>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</si>
  <si>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</si>
  <si>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</si>
  <si>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</si>
  <si>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</si>
  <si>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</si>
  <si>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</si>
  <si>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</si>
  <si>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</si>
  <si>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</si>
  <si>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</si>
  <si>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</si>
  <si>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</si>
  <si>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</si>
  <si>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</si>
  <si>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</si>
  <si>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</si>
  <si>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</si>
  <si>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</si>
  <si>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</si>
  <si>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</si>
  <si>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</si>
  <si>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</si>
  <si>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</si>
  <si>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</si>
  <si>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</si>
  <si>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</si>
  <si>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</si>
  <si>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</si>
  <si>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</si>
  <si>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</si>
  <si>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</si>
  <si>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</si>
  <si>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</si>
  <si>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</si>
  <si>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</si>
  <si>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</si>
  <si>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</si>
  <si>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</si>
  <si>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</si>
  <si>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</si>
  <si>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</si>
  <si>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</si>
  <si>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</si>
  <si>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</si>
  <si>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</si>
  <si>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</si>
  <si>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</si>
  <si>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</si>
  <si>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</si>
  <si>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</si>
  <si>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</si>
  <si>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</si>
  <si>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</si>
  <si>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</si>
  <si>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</si>
  <si>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</si>
  <si>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</si>
  <si>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</si>
  <si>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</si>
  <si>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</si>
  <si>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</si>
  <si>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</si>
  <si>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</si>
  <si>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</si>
  <si>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</si>
  <si>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</si>
  <si>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</si>
  <si>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</si>
  <si>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</si>
  <si>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</si>
  <si>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</si>
  <si>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</si>
  <si>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</si>
  <si>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</si>
  <si>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</si>
  <si>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</si>
  <si>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</si>
  <si>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</si>
  <si>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</si>
  <si>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</si>
  <si>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</si>
  <si>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</si>
  <si>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</si>
  <si>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</si>
  <si>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</si>
  <si>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</si>
  <si>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</si>
  <si>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</si>
  <si>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</si>
  <si>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</si>
  <si>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</si>
  <si>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</si>
  <si>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</si>
  <si>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</si>
  <si>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</si>
  <si>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</si>
  <si>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</si>
  <si>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</si>
  <si>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</si>
  <si>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</si>
  <si>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</si>
  <si>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</si>
  <si>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</si>
  <si>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</si>
  <si>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</si>
  <si>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</si>
  <si>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</si>
  <si>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</si>
  <si>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</si>
  <si>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</si>
  <si>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</si>
  <si>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</si>
  <si>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</si>
  <si>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</si>
  <si>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</si>
  <si>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</si>
  <si>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</si>
  <si>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</si>
  <si>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</si>
  <si>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</si>
  <si>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</si>
  <si>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</si>
  <si>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</si>
  <si>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</si>
  <si>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</si>
  <si>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</si>
  <si>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</si>
  <si>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</si>
  <si>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</si>
  <si>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</si>
  <si>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</si>
  <si>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</si>
  <si>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</si>
  <si>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</si>
  <si>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</si>
  <si>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</si>
  <si>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</si>
  <si>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</si>
  <si>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</si>
  <si>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</si>
  <si>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</si>
  <si>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</si>
  <si>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</si>
  <si>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</si>
  <si>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</si>
  <si>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</si>
  <si>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</si>
  <si>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</si>
  <si>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</si>
  <si>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</si>
  <si>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</si>
  <si>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</si>
  <si>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</si>
  <si>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</si>
  <si>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</si>
  <si>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</si>
  <si>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</si>
  <si>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</si>
  <si>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</si>
  <si>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</si>
  <si>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</si>
  <si>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</si>
  <si>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</si>
  <si>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</si>
  <si>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</si>
  <si>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</si>
  <si>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</si>
  <si>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</si>
  <si>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</si>
  <si>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</si>
  <si>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</si>
  <si>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</si>
  <si>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</si>
  <si>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</si>
  <si>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</si>
  <si>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</si>
  <si>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</si>
  <si>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</si>
  <si>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</si>
  <si>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</si>
  <si>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</si>
  <si>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</si>
  <si>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</si>
  <si>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</si>
  <si>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</si>
  <si>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</si>
  <si>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</si>
  <si>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</si>
  <si>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</si>
  <si>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</si>
  <si>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</si>
  <si>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</si>
  <si>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</si>
  <si>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</si>
  <si>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</si>
  <si>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</si>
  <si>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</si>
  <si>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</si>
  <si>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</si>
  <si>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</si>
  <si>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</si>
  <si>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</si>
  <si>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</si>
  <si>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</si>
  <si>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</si>
  <si>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</si>
  <si>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</si>
  <si>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</si>
  <si>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</si>
  <si>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</si>
  <si>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</si>
  <si>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</si>
  <si>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</si>
  <si>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</si>
  <si>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</si>
  <si>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</si>
  <si>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</si>
  <si>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</si>
  <si>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</si>
  <si>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</si>
  <si>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</si>
  <si>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</si>
  <si>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</si>
  <si>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</si>
  <si>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</si>
  <si>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</si>
  <si>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</si>
  <si>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</si>
  <si>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</si>
  <si>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</si>
  <si>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</si>
  <si>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</si>
  <si>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</si>
  <si>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</si>
  <si>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</si>
  <si>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</si>
  <si>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</si>
  <si>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</si>
  <si>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</si>
  <si>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</si>
  <si>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</si>
  <si>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</si>
  <si>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</si>
  <si>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</si>
  <si>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</si>
  <si>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</si>
  <si>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</si>
  <si>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</si>
  <si>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</si>
  <si>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</si>
  <si>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</si>
  <si>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</si>
  <si>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</si>
  <si>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</si>
  <si>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</si>
  <si>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</si>
  <si>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</si>
  <si>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</si>
  <si>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</si>
  <si>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</si>
  <si>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</si>
  <si>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</si>
  <si>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</si>
  <si>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</si>
  <si>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</si>
  <si>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</si>
  <si>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</si>
  <si>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</si>
  <si>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</si>
  <si>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</si>
  <si>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</si>
  <si>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</si>
  <si>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</si>
  <si>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</si>
  <si>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</si>
  <si>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</si>
  <si>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</si>
  <si>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</si>
  <si>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</si>
  <si>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</si>
  <si>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</si>
  <si>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</si>
  <si>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</si>
  <si>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</si>
  <si>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</si>
  <si>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</si>
  <si>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</si>
  <si>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</si>
  <si>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</si>
  <si>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</si>
  <si>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</si>
  <si>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</si>
  <si>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</si>
  <si>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</si>
  <si>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</si>
  <si>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</si>
  <si>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</si>
  <si>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</si>
  <si>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</si>
  <si>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</si>
  <si>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</si>
  <si>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</si>
  <si>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</si>
  <si>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</si>
  <si>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</si>
  <si>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</si>
  <si>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</si>
  <si>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</si>
  <si>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</si>
  <si>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</si>
  <si>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</si>
  <si>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</si>
  <si>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</si>
  <si>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</si>
  <si>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</si>
  <si>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</si>
  <si>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</si>
  <si>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</si>
  <si>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</si>
  <si>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</si>
  <si>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</si>
  <si>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</si>
  <si>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</si>
  <si>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</si>
  <si>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</si>
  <si>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</si>
  <si>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</si>
  <si>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</si>
  <si>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</si>
  <si>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</si>
  <si>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</si>
  <si>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</si>
  <si>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</si>
  <si>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</si>
  <si>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</si>
  <si>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</si>
  <si>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</si>
  <si>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</si>
  <si>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</si>
  <si>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</si>
  <si>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</si>
  <si>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</si>
  <si>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</si>
  <si>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</si>
  <si>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</si>
  <si>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</si>
  <si>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</si>
  <si>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</si>
  <si>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</si>
  <si>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</si>
  <si>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</si>
  <si>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</si>
  <si>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</si>
  <si>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</si>
  <si>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</si>
  <si>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</si>
  <si>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</si>
  <si>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</si>
  <si>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</si>
  <si>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</si>
  <si>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</si>
  <si>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</si>
  <si>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</si>
  <si>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</si>
  <si>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</si>
  <si>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</si>
  <si>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</si>
  <si>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</si>
  <si>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</si>
  <si>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</si>
  <si>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</si>
  <si>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</si>
  <si>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</si>
  <si>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</si>
  <si>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</si>
  <si>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</si>
  <si>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</si>
  <si>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</si>
  <si>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</si>
  <si>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</si>
  <si>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</si>
  <si>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</si>
  <si>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</si>
  <si>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</si>
  <si>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</si>
  <si>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</si>
  <si>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</si>
  <si>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</si>
  <si>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</si>
  <si>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</si>
  <si>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</si>
  <si>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</si>
  <si>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</si>
  <si>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</si>
  <si>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</si>
  <si>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</si>
  <si>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</si>
  <si>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</si>
  <si>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</si>
  <si>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</si>
  <si>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</si>
  <si>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</si>
  <si>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</si>
  <si>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</si>
  <si>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</si>
  <si>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</si>
  <si>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</si>
  <si>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</si>
  <si>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</si>
  <si>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</si>
  <si>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</si>
  <si>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</si>
  <si>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</si>
  <si>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</si>
  <si>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</si>
  <si>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</si>
  <si>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</si>
  <si>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</si>
  <si>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</si>
  <si>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</si>
  <si>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</si>
  <si>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</si>
  <si>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</si>
  <si>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</si>
  <si>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</si>
  <si>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</si>
  <si>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</si>
  <si>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</si>
  <si>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</si>
  <si>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</si>
  <si>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</si>
  <si>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</si>
  <si>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</si>
  <si>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</si>
  <si>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</si>
  <si>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</si>
  <si>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</si>
  <si>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</si>
  <si>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</si>
  <si>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</si>
  <si>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</si>
  <si>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</si>
  <si>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</si>
  <si>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</si>
  <si>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</si>
  <si>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</si>
  <si>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</si>
  <si>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</si>
  <si>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</si>
  <si>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</si>
  <si>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</si>
  <si>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</si>
  <si>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</si>
  <si>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</si>
  <si>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</si>
  <si>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</si>
  <si>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</si>
  <si>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</si>
  <si>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</si>
  <si>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</si>
  <si>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</si>
  <si>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</si>
  <si>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</si>
  <si>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</si>
  <si>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</si>
  <si>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</si>
  <si>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</si>
  <si>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</si>
  <si>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</si>
  <si>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</si>
  <si>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</si>
  <si>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</si>
  <si>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</si>
  <si>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</si>
  <si>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</si>
  <si>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</si>
  <si>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</si>
  <si>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</si>
  <si>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</si>
  <si>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</si>
  <si>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</si>
  <si>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</si>
  <si>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</si>
  <si>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</si>
  <si>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</si>
  <si>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</si>
  <si>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</si>
  <si>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</si>
  <si>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</si>
  <si>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</si>
  <si>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</si>
  <si>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</si>
  <si>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</si>
  <si>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</si>
  <si>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</si>
  <si>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</si>
  <si>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</si>
  <si>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</si>
  <si>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</si>
  <si>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</si>
  <si>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</si>
  <si>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</si>
  <si>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</si>
  <si>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</si>
  <si>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</si>
  <si>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</si>
  <si>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</si>
  <si>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</si>
  <si>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</si>
  <si>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</si>
  <si>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</si>
  <si>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</si>
  <si>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</si>
  <si>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</si>
  <si>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</si>
  <si>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</si>
  <si>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</si>
  <si>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</si>
  <si>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</si>
  <si>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</si>
  <si>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</si>
  <si>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</si>
  <si>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</si>
  <si>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</si>
  <si>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</si>
  <si>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</si>
  <si>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</si>
  <si>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</si>
  <si>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</si>
  <si>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</si>
  <si>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</si>
  <si>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</si>
  <si>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</si>
  <si>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</si>
  <si>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</si>
  <si>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</si>
  <si>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</si>
  <si>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</si>
  <si>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</si>
  <si>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</si>
  <si>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</si>
  <si>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</si>
  <si>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</si>
  <si>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</si>
  <si>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</si>
  <si>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</si>
  <si>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</si>
  <si>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</si>
  <si>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</si>
  <si>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</si>
  <si>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</si>
  <si>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</si>
  <si>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</si>
  <si>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</si>
  <si>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</si>
  <si>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</si>
  <si>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</si>
  <si>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</si>
  <si>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</si>
  <si>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</si>
  <si>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</si>
  <si>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</si>
  <si>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</si>
  <si>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</si>
  <si>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</si>
  <si>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</si>
  <si>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</si>
  <si>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</si>
  <si>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</si>
  <si>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</si>
  <si>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</si>
  <si>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</si>
  <si>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</si>
  <si>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</si>
  <si>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</si>
  <si>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</si>
  <si>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</si>
  <si>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</si>
  <si>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</si>
  <si>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</si>
  <si>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</si>
  <si>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</si>
  <si>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</si>
  <si>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</si>
  <si>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</si>
  <si>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</si>
  <si>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</si>
  <si>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</si>
  <si>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</si>
  <si>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</si>
  <si>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</si>
  <si>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</si>
  <si>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</si>
  <si>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</si>
  <si>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</si>
  <si>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</si>
  <si>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</si>
  <si>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</si>
  <si>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</si>
  <si>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</si>
  <si>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</si>
  <si>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</si>
  <si>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</si>
  <si>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</si>
  <si>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</si>
  <si>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</si>
  <si>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</si>
  <si>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</si>
  <si>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</si>
  <si>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</si>
  <si>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</si>
  <si>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</si>
  <si>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</si>
  <si>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</si>
  <si>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</si>
  <si>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</si>
  <si>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</si>
  <si>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</si>
  <si>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</si>
  <si>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</si>
  <si>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</si>
  <si>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</si>
  <si>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</si>
  <si>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</si>
  <si>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</si>
  <si>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</si>
  <si>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</si>
  <si>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</si>
  <si>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</si>
  <si>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</si>
  <si>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</si>
  <si>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</si>
  <si>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</si>
  <si>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</si>
  <si>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</si>
  <si>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</si>
  <si>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</si>
  <si>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</si>
  <si>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</si>
  <si>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</si>
  <si>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</si>
  <si>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</si>
  <si>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</si>
  <si>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</si>
  <si>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</si>
  <si>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</si>
  <si>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</si>
  <si>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</si>
  <si>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</si>
  <si>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</si>
  <si>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</si>
  <si>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</si>
  <si>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</si>
  <si>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</si>
  <si>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</si>
  <si>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</si>
  <si>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</si>
  <si>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</si>
  <si>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</si>
  <si>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</si>
  <si>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</si>
  <si>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</si>
  <si>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</si>
  <si>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</si>
  <si>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</si>
  <si>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</si>
  <si>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</si>
  <si>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</si>
  <si>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</si>
  <si>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</si>
  <si>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</si>
  <si>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</si>
  <si>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</si>
  <si>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</si>
  <si>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</si>
  <si>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</si>
  <si>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</si>
  <si>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</si>
  <si>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</si>
  <si>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</si>
  <si>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</si>
  <si>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</si>
  <si>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</si>
  <si>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</si>
  <si>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</si>
  <si>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</si>
  <si>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</si>
  <si>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</si>
  <si>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</si>
  <si>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</si>
  <si>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</si>
  <si>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</si>
  <si>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</si>
  <si>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</si>
  <si>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</si>
  <si>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</si>
  <si>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</si>
  <si>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</si>
  <si>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</si>
  <si>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</si>
  <si>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</si>
  <si>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</si>
  <si>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</si>
  <si>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</si>
  <si>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</si>
  <si>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</si>
  <si>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</si>
  <si>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</si>
  <si>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</si>
  <si>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</si>
  <si>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</si>
  <si>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</si>
  <si>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</si>
  <si>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</si>
  <si>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</si>
  <si>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</si>
  <si>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</si>
  <si>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</si>
  <si>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</si>
  <si>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</si>
  <si>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</si>
  <si>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</si>
  <si>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</si>
  <si>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</si>
  <si>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</si>
  <si>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</si>
  <si>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</si>
  <si>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</si>
  <si>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</si>
  <si>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</si>
  <si>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</si>
  <si>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</si>
  <si>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</si>
  <si>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</si>
  <si>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</si>
  <si>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</si>
  <si>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</si>
  <si>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</si>
  <si>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</si>
  <si>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</si>
  <si>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</si>
  <si>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</si>
  <si>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</si>
  <si>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</si>
  <si>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</si>
  <si>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</si>
  <si>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</si>
  <si>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</si>
  <si>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</si>
  <si>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</si>
  <si>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</si>
  <si>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</si>
  <si>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</si>
  <si>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</si>
  <si>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</si>
  <si>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</si>
  <si>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</si>
  <si>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</si>
  <si>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</si>
  <si>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</si>
  <si>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</si>
  <si>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</si>
  <si>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</si>
  <si>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</si>
  <si>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</si>
  <si>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</si>
  <si>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</si>
  <si>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</si>
  <si>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</si>
  <si>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</si>
  <si>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</si>
  <si>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</si>
  <si>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</si>
  <si>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</si>
  <si>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</si>
  <si>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</si>
  <si>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</si>
  <si>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</si>
  <si>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</si>
  <si>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</si>
  <si>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</si>
  <si>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</si>
  <si>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</si>
  <si>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</si>
  <si>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</si>
  <si>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</si>
  <si>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</si>
  <si>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</si>
  <si>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</si>
  <si>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</si>
  <si>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</si>
  <si>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</si>
  <si>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</si>
  <si>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</si>
  <si>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</si>
  <si>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</si>
  <si>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</si>
  <si>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</si>
  <si>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</si>
  <si>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</si>
  <si>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</si>
  <si>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</si>
  <si>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</si>
  <si>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</si>
  <si>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</si>
  <si>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</si>
  <si>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</si>
  <si>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</si>
  <si>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</si>
  <si>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</si>
  <si>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</si>
  <si>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</si>
  <si>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</si>
  <si>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</si>
  <si>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</si>
  <si>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</si>
  <si>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</si>
  <si>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</si>
  <si>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</si>
  <si>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</si>
  <si>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</si>
  <si>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</si>
  <si>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</si>
  <si>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</si>
  <si>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</si>
  <si>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</si>
  <si>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</si>
  <si>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</si>
  <si>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</si>
  <si>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</si>
  <si>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</si>
  <si>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</si>
  <si>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</si>
  <si>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</si>
  <si>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</si>
  <si>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</si>
  <si>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</si>
  <si>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</si>
  <si>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</si>
  <si>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</si>
  <si>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</si>
  <si>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</si>
  <si>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</si>
  <si>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</si>
  <si>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</si>
  <si>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</si>
  <si>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</si>
  <si>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</si>
  <si>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</si>
  <si>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</si>
  <si>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</si>
  <si>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</si>
  <si>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</si>
  <si>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</si>
  <si>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</si>
  <si>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</si>
  <si>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</si>
  <si>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</si>
  <si>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</si>
  <si>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</si>
  <si>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</si>
  <si>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</si>
  <si>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</si>
  <si>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</si>
  <si>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</si>
  <si>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</si>
  <si>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</si>
  <si>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</si>
  <si>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</si>
  <si>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</si>
  <si>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</si>
  <si>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</si>
  <si>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</si>
  <si>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</si>
  <si>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</si>
  <si>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</si>
  <si>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</si>
  <si>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</si>
  <si>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</si>
  <si>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</si>
  <si>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</si>
  <si>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</si>
  <si>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</si>
  <si>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</si>
  <si>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</si>
  <si>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</si>
  <si>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</si>
  <si>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</si>
  <si>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</si>
  <si>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</si>
  <si>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</si>
  <si>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</si>
  <si>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</si>
  <si>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</si>
  <si>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</si>
  <si>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</si>
  <si>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</si>
  <si>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</si>
  <si>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</si>
  <si>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</si>
  <si>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</si>
  <si>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</si>
  <si>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</si>
  <si>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</si>
  <si>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</si>
  <si>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</si>
  <si>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</si>
  <si>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</si>
  <si>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</si>
  <si>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</si>
  <si>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</si>
  <si>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</si>
  <si>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</si>
  <si>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</si>
  <si>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</si>
  <si>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</si>
  <si>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</si>
  <si>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</si>
  <si>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</si>
  <si>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</si>
  <si>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</si>
  <si>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</si>
  <si>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</si>
  <si>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</si>
  <si>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</si>
  <si>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</si>
  <si>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</si>
  <si>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</si>
  <si>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</si>
  <si>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</si>
  <si>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</si>
  <si>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</si>
  <si>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</si>
  <si>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</si>
  <si>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</si>
  <si>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</si>
  <si>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</si>
  <si>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</si>
  <si>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</si>
  <si>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</si>
  <si>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</si>
  <si>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</si>
  <si>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</si>
  <si>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</si>
  <si>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</si>
  <si>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</si>
  <si>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</si>
  <si>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</si>
  <si>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</si>
  <si>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</si>
  <si>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</si>
  <si>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</si>
  <si>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</si>
  <si>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</si>
  <si>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</si>
  <si>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</si>
  <si>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</si>
  <si>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</si>
  <si>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</si>
  <si>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</si>
  <si>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</si>
  <si>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</si>
  <si>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</si>
  <si>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</si>
  <si>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</si>
  <si>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</si>
  <si>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</si>
  <si>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</si>
  <si>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</si>
  <si>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</si>
  <si>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</si>
  <si>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</si>
  <si>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</si>
  <si>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</si>
  <si>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</si>
  <si>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</si>
  <si>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</si>
  <si>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</si>
  <si>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</si>
  <si>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</si>
  <si>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</si>
  <si>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</si>
  <si>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</si>
  <si>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</si>
  <si>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</si>
  <si>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</si>
  <si>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</si>
  <si>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</si>
  <si>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</si>
  <si>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</si>
  <si>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</si>
  <si>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</si>
  <si>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</si>
  <si>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</si>
  <si>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</si>
  <si>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</si>
  <si>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</si>
  <si>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</si>
  <si>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</si>
  <si>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</si>
  <si>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</si>
  <si>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</si>
  <si>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</si>
  <si>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</si>
  <si>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</si>
  <si>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</si>
  <si>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</si>
  <si>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</si>
  <si>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</si>
  <si>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</si>
  <si>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</si>
  <si>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</si>
  <si>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</si>
  <si>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</si>
  <si>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</si>
  <si>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</si>
  <si>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</si>
  <si>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</si>
  <si>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</si>
  <si>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</si>
  <si>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</si>
  <si>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</si>
  <si>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</si>
  <si>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</si>
  <si>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</si>
  <si>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</si>
  <si>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</si>
  <si>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</si>
  <si>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</si>
  <si>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</si>
  <si>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</si>
  <si>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</si>
  <si>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</si>
  <si>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</si>
  <si>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</si>
  <si>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</si>
  <si>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</si>
  <si>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</si>
  <si>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</si>
  <si>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</si>
  <si>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</si>
  <si>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</si>
  <si>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</si>
  <si>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</si>
  <si>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</si>
  <si>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</si>
  <si>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</si>
  <si>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</si>
  <si>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</si>
  <si>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</si>
  <si>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</si>
  <si>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</si>
  <si>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</si>
  <si>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</si>
  <si>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</si>
  <si>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</si>
  <si>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</si>
  <si>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</si>
  <si>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</si>
  <si>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</si>
  <si>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</si>
  <si>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</si>
  <si>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</si>
  <si>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</si>
  <si>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</si>
  <si>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</si>
  <si>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</si>
  <si>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</si>
  <si>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</si>
  <si>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</si>
  <si>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</si>
  <si>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</si>
  <si>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</si>
  <si>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</si>
  <si>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</si>
  <si>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</si>
  <si>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</si>
  <si>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</si>
  <si>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</si>
  <si>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</si>
  <si>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</si>
  <si>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</si>
  <si>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</si>
  <si>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</si>
  <si>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</si>
  <si>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</si>
  <si>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</si>
  <si>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</si>
  <si>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</si>
  <si>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</si>
  <si>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</si>
  <si>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</si>
  <si>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</si>
  <si>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</si>
  <si>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</si>
  <si>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</si>
  <si>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</si>
  <si>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</si>
  <si>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</si>
  <si>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</si>
  <si>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</si>
  <si>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</si>
  <si>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</si>
  <si>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</si>
  <si>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</si>
  <si>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</si>
  <si>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</si>
  <si>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</si>
  <si>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</si>
  <si>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</si>
  <si>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</si>
  <si>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</si>
  <si>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</si>
  <si>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</si>
  <si>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</si>
  <si>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</si>
  <si>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</si>
  <si>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</si>
  <si>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</si>
  <si>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</si>
  <si>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</si>
  <si>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</si>
  <si>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</si>
  <si>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</si>
  <si>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</si>
  <si>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</si>
  <si>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</si>
  <si>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</si>
  <si>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</si>
  <si>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</si>
  <si>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</si>
  <si>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</si>
  <si>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</si>
  <si>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</si>
  <si>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</si>
  <si>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</si>
  <si>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</si>
  <si>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</si>
  <si>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</si>
  <si>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</si>
  <si>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</si>
  <si>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</si>
  <si>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</si>
  <si>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</si>
  <si>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</si>
  <si>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</si>
  <si>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</si>
  <si>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</si>
  <si>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</si>
  <si>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</si>
  <si>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</si>
  <si>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</si>
  <si>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</si>
  <si>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</si>
  <si>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</si>
  <si>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</si>
  <si>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</si>
  <si>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</si>
  <si>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</si>
  <si>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</si>
  <si>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</si>
  <si>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</si>
  <si>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</si>
  <si>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</si>
  <si>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</si>
  <si>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</si>
  <si>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</si>
  <si>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</si>
  <si>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</si>
  <si>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</si>
  <si>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</si>
  <si>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</si>
  <si>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</si>
  <si>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</si>
  <si>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</si>
  <si>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</si>
  <si>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</si>
  <si>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</si>
  <si>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</si>
  <si>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</si>
  <si>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</si>
  <si>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</si>
  <si>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</si>
  <si>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</si>
  <si>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</si>
  <si>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</si>
  <si>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</si>
  <si>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</si>
  <si>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</si>
  <si>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</si>
  <si>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</si>
  <si>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</si>
  <si>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</si>
  <si>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</si>
  <si>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</si>
  <si>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</si>
  <si>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</si>
  <si>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</si>
  <si>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</si>
  <si>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</si>
  <si>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</si>
  <si>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</si>
  <si>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</si>
  <si>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</si>
  <si>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</si>
  <si>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</si>
  <si>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</si>
  <si>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</si>
  <si>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</si>
  <si>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</si>
  <si>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</si>
  <si>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</si>
  <si>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</si>
  <si>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</si>
  <si>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</si>
  <si>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</si>
  <si>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</si>
  <si>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</si>
  <si>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</si>
  <si>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</si>
  <si>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</si>
  <si>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</si>
  <si>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</si>
  <si>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</si>
  <si>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</si>
  <si>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</si>
  <si>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</si>
  <si>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</si>
  <si>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</si>
  <si>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</si>
  <si>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</si>
  <si>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</si>
  <si>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</si>
  <si>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</si>
  <si>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</si>
  <si>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</si>
  <si>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</si>
  <si>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</si>
  <si>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</si>
  <si>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</si>
  <si>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</si>
  <si>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</si>
  <si>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</si>
  <si>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</si>
  <si>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</si>
  <si>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</si>
  <si>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</si>
  <si>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</si>
  <si>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</si>
  <si>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</si>
  <si>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</si>
  <si>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</si>
  <si>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</si>
  <si>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</si>
  <si>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</si>
  <si>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</si>
  <si>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</si>
  <si>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</si>
  <si>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</si>
  <si>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</si>
  <si>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</si>
  <si>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</si>
  <si>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</si>
  <si>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</si>
  <si>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</si>
  <si>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</si>
  <si>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</si>
  <si>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</si>
  <si>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</si>
  <si>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</si>
  <si>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</si>
  <si>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</si>
  <si>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</si>
  <si>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</si>
  <si>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</si>
  <si>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</si>
  <si>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</si>
  <si>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</si>
  <si>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</si>
  <si>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</si>
  <si>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</si>
  <si>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</si>
  <si>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</si>
  <si>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</si>
  <si>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</si>
  <si>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</si>
  <si>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</si>
  <si>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</si>
  <si>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</si>
  <si>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</si>
  <si>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</si>
  <si>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</si>
  <si>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</si>
  <si>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</si>
  <si>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</si>
  <si>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</si>
  <si>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</si>
  <si>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</si>
  <si>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</si>
  <si>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</si>
  <si>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</si>
  <si>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</si>
  <si>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</si>
  <si>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</si>
  <si>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</si>
  <si>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</si>
  <si>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</si>
  <si>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</si>
  <si>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</si>
  <si>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</si>
  <si>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</si>
  <si>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</si>
  <si>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</si>
  <si>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</si>
  <si>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</si>
  <si>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</si>
  <si>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</si>
  <si>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</si>
  <si>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</si>
  <si>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</si>
  <si>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</si>
  <si>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</si>
  <si>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</si>
  <si>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</si>
  <si>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</si>
  <si>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</si>
  <si>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</si>
  <si>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</si>
  <si>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</si>
  <si>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</si>
  <si>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</si>
  <si>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</si>
  <si>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</si>
  <si>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</si>
  <si>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</si>
  <si>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</si>
  <si>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</si>
  <si>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</si>
  <si>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</si>
  <si>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</si>
  <si>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</si>
  <si>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</si>
  <si>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</si>
  <si>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</si>
  <si>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</si>
  <si>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</si>
  <si>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</si>
  <si>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</si>
  <si>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</si>
  <si>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</si>
  <si>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</si>
  <si>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</si>
  <si>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</si>
  <si>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</si>
  <si>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</si>
  <si>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</si>
  <si>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</si>
  <si>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</si>
  <si>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</si>
  <si>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</si>
  <si>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</si>
  <si>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</si>
  <si>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</si>
  <si>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</si>
  <si>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</si>
  <si>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</si>
  <si>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</si>
  <si>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</si>
  <si>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</si>
  <si>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</si>
  <si>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</si>
  <si>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</si>
  <si>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</si>
  <si>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</si>
  <si>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</si>
  <si>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</si>
  <si>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</si>
  <si>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</si>
  <si>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</si>
  <si>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</si>
  <si>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</si>
  <si>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</si>
  <si>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</si>
  <si>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</si>
  <si>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</si>
  <si>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</si>
  <si>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</si>
  <si>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</si>
  <si>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</si>
  <si>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</si>
  <si>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</si>
  <si>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</si>
  <si>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</si>
  <si>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</si>
  <si>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</si>
  <si>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</si>
  <si>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</si>
  <si>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</si>
  <si>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</si>
  <si>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</si>
  <si>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</si>
  <si>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</si>
  <si>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</si>
  <si>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</si>
  <si>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</si>
  <si>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</si>
  <si>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</si>
  <si>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</si>
  <si>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</si>
  <si>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</si>
  <si>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</si>
  <si>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</si>
  <si>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</si>
  <si>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</si>
  <si>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</si>
  <si>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</si>
  <si>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</si>
  <si>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</si>
  <si>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</si>
  <si>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</si>
  <si>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</si>
  <si>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</si>
  <si>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</si>
  <si>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</si>
  <si>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</si>
  <si>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</si>
  <si>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</si>
  <si>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</si>
  <si>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</si>
  <si>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</si>
  <si>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</si>
  <si>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</si>
  <si>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</si>
  <si>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</si>
  <si>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</si>
  <si>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</si>
  <si>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</si>
  <si>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</si>
  <si>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</si>
  <si>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</si>
  <si>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</si>
  <si>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</si>
  <si>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</si>
  <si>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</si>
  <si>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</si>
  <si>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</si>
  <si>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</si>
  <si>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</si>
  <si>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</si>
  <si>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</si>
  <si>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</si>
  <si>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</si>
  <si>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</si>
  <si>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</si>
  <si>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</si>
  <si>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</si>
  <si>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</si>
  <si>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</si>
  <si>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</si>
  <si>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</si>
  <si>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</si>
  <si>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</si>
  <si>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</si>
  <si>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</si>
  <si>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</si>
  <si>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</si>
  <si>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</si>
  <si>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</si>
  <si>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</si>
  <si>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</si>
  <si>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</si>
  <si>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</si>
  <si>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</si>
  <si>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</si>
  <si>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</si>
  <si>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</si>
  <si>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</si>
  <si>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</si>
  <si>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</si>
  <si>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</si>
  <si>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</si>
  <si>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</si>
  <si>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</si>
  <si>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</si>
  <si>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</si>
  <si>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</si>
  <si>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</si>
  <si>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</si>
  <si>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</si>
  <si>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</si>
  <si>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</si>
  <si>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</si>
  <si>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</si>
  <si>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</si>
  <si>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</si>
  <si>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</si>
  <si>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</si>
  <si>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</si>
  <si>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</si>
  <si>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</si>
  <si>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</si>
  <si>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</si>
  <si>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</si>
  <si>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</si>
  <si>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</si>
  <si>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</si>
  <si>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</si>
  <si>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</si>
  <si>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</si>
  <si>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</si>
  <si>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</si>
  <si>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</si>
  <si>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</si>
  <si>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</si>
  <si>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</si>
  <si>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</si>
  <si>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</si>
  <si>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</si>
  <si>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</si>
  <si>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</si>
  <si>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</si>
  <si>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</si>
  <si>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</si>
  <si>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</si>
  <si>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</si>
  <si>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</si>
  <si>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</si>
  <si>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</si>
  <si>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</si>
  <si>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</si>
  <si>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</si>
  <si>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</si>
  <si>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</si>
  <si>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</si>
  <si>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</si>
  <si>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</si>
  <si>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</si>
  <si>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</si>
  <si>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</si>
  <si>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</si>
  <si>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</si>
  <si>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</si>
  <si>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</si>
  <si>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</si>
  <si>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</si>
  <si>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</si>
  <si>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</si>
  <si>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</si>
  <si>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</si>
  <si>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</si>
  <si>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</si>
  <si>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</si>
  <si>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</si>
  <si>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</si>
  <si>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</si>
  <si>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</si>
  <si>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</si>
  <si>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</si>
  <si>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</si>
  <si>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</si>
  <si>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</si>
  <si>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</si>
  <si>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</si>
  <si>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</si>
  <si>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</si>
  <si>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</si>
  <si>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</si>
  <si>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</si>
  <si>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</si>
  <si>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</si>
  <si>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</si>
  <si>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</si>
  <si>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</si>
  <si>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</si>
  <si>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</si>
  <si>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</si>
  <si>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</si>
  <si>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</si>
  <si>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</si>
  <si>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</si>
  <si>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</si>
  <si>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</si>
  <si>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</si>
  <si>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</si>
  <si>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</si>
  <si>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</si>
  <si>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</si>
  <si>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</si>
  <si>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</si>
  <si>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</si>
  <si>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</si>
  <si>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</si>
  <si>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</si>
  <si>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</si>
  <si>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</si>
  <si>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</si>
  <si>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</si>
  <si>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</si>
  <si>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</si>
  <si>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</si>
  <si>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</si>
  <si>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</si>
  <si>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</si>
  <si>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</si>
  <si>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</si>
  <si>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</si>
  <si>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</si>
  <si>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</si>
  <si>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</si>
  <si>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</si>
  <si>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</si>
  <si>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</si>
  <si>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</si>
  <si>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</si>
  <si>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</si>
  <si>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</si>
  <si>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</si>
  <si>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</si>
  <si>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</si>
  <si>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</si>
  <si>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</si>
  <si>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</si>
  <si>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</si>
  <si>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</si>
  <si>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</si>
  <si>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</si>
  <si>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</si>
  <si>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</si>
  <si>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</si>
  <si>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</si>
  <si>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</si>
  <si>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</si>
  <si>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</si>
  <si>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</si>
  <si>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</si>
  <si>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</si>
  <si>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</si>
  <si>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</si>
  <si>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</si>
  <si>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</si>
  <si>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</si>
  <si>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</si>
  <si>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</si>
  <si>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</si>
  <si>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</si>
  <si>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</si>
  <si>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</si>
  <si>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</si>
  <si>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</si>
  <si>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</si>
  <si>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</si>
  <si>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</si>
  <si>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</si>
  <si>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</si>
  <si>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</si>
  <si>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</si>
  <si>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</si>
  <si>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</si>
  <si>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</si>
  <si>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</si>
  <si>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</si>
  <si>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</si>
  <si>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</si>
  <si>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</si>
  <si>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</si>
  <si>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</si>
  <si>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</si>
  <si>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</si>
  <si>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</si>
  <si>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</si>
  <si>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</si>
  <si>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</si>
  <si>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</si>
  <si>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</si>
  <si>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</si>
  <si>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</si>
  <si>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</si>
  <si>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</si>
  <si>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</si>
  <si>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</si>
  <si>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</si>
  <si>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</si>
  <si>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</si>
  <si>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</si>
  <si>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</si>
  <si>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</si>
  <si>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</si>
  <si>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</si>
  <si>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</si>
  <si>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</si>
  <si>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</si>
  <si>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</si>
  <si>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</si>
  <si>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</si>
  <si>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</si>
  <si>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</si>
  <si>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</si>
  <si>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</si>
  <si>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</si>
  <si>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</si>
  <si>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</si>
  <si>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</si>
  <si>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</si>
  <si>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</si>
  <si>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</si>
  <si>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</si>
  <si>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</si>
  <si>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</si>
  <si>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</si>
  <si>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</si>
  <si>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</si>
  <si>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</si>
  <si>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</si>
  <si>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</si>
  <si>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</si>
  <si>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</si>
  <si>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</si>
  <si>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</si>
  <si>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</si>
  <si>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</si>
  <si>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</si>
  <si>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</si>
  <si>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</si>
  <si>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</si>
  <si>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</si>
  <si>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</si>
  <si>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</si>
  <si>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</si>
  <si>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</si>
  <si>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</si>
  <si>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</si>
  <si>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</si>
  <si>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</si>
  <si>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</si>
  <si>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</si>
  <si>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</si>
  <si>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</si>
  <si>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</si>
  <si>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</si>
  <si>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</si>
  <si>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</si>
  <si>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</si>
  <si>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</si>
  <si>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</si>
  <si>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</si>
  <si>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</si>
  <si>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</si>
  <si>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</si>
  <si>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</si>
  <si>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</si>
  <si>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</si>
  <si>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</si>
  <si>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</si>
  <si>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</si>
  <si>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</si>
  <si>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</si>
  <si>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</si>
  <si>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</si>
  <si>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</si>
  <si>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</si>
  <si>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</si>
  <si>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</si>
  <si>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</si>
  <si>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</si>
  <si>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</si>
  <si>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</si>
  <si>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</si>
  <si>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</si>
  <si>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</si>
  <si>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</si>
  <si>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</si>
  <si>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</si>
  <si>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</si>
  <si>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</si>
  <si>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</si>
  <si>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</si>
  <si>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</si>
  <si>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</si>
  <si>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</si>
  <si>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</si>
  <si>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</si>
  <si>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</si>
  <si>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</si>
  <si>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</si>
  <si>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</si>
  <si>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</si>
  <si>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</si>
  <si>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</si>
  <si>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</si>
  <si>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</si>
  <si>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</si>
  <si>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</si>
  <si>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</si>
  <si>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</si>
  <si>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</si>
  <si>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</si>
  <si>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</si>
  <si>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</si>
  <si>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</si>
  <si>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</si>
  <si>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</si>
  <si>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</si>
  <si>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</si>
  <si>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</si>
  <si>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</si>
  <si>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</si>
  <si>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</si>
  <si>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</si>
  <si>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</si>
  <si>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</si>
  <si>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</si>
  <si>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</si>
  <si>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</si>
  <si>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</si>
  <si>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</si>
  <si>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</si>
  <si>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</si>
  <si>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</si>
  <si>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</si>
  <si>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</si>
  <si>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</si>
  <si>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</si>
  <si>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</si>
  <si>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</si>
  <si>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</si>
  <si>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</si>
  <si>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</si>
  <si>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</si>
  <si>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</si>
  <si>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</si>
  <si>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</si>
  <si>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</si>
  <si>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</si>
  <si>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</si>
  <si>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</si>
  <si>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</si>
  <si>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</si>
  <si>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</si>
  <si>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</si>
  <si>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</si>
  <si>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</si>
  <si>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</si>
  <si>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</si>
  <si>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</si>
  <si>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</si>
  <si>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</si>
  <si>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</si>
  <si>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</si>
  <si>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</si>
  <si>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</si>
  <si>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</si>
  <si>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</si>
  <si>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</si>
  <si>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</si>
  <si>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</si>
  <si>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</si>
  <si>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</si>
  <si>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</si>
  <si>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</si>
  <si>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</si>
  <si>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</si>
  <si>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</si>
  <si>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</si>
  <si>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</si>
  <si>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</si>
  <si>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</si>
  <si>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</si>
  <si>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</si>
  <si>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</si>
  <si>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</si>
  <si>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</si>
  <si>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</si>
  <si>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</si>
  <si>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</si>
  <si>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</si>
  <si>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</si>
  <si>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</si>
  <si>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</si>
  <si>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</si>
  <si>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</si>
  <si>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</si>
  <si>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</si>
  <si>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</si>
  <si>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</si>
  <si>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</si>
  <si>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</si>
  <si>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</si>
  <si>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</si>
  <si>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</si>
  <si>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</si>
  <si>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</si>
  <si>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</si>
  <si>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</si>
  <si>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</si>
  <si>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</si>
  <si>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</si>
  <si>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</si>
  <si>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</si>
  <si>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</si>
  <si>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</si>
  <si>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</si>
  <si>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</si>
  <si>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</si>
  <si>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</si>
  <si>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</si>
  <si>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</si>
  <si>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</si>
  <si>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</si>
  <si>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</si>
  <si>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</si>
  <si>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</si>
  <si>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</si>
  <si>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</si>
  <si>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</si>
  <si>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</si>
  <si>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</si>
  <si>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</si>
  <si>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</si>
  <si>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</si>
  <si>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</si>
  <si>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</si>
  <si>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</si>
  <si>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</si>
  <si>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</si>
  <si>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</si>
  <si>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</si>
  <si>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</si>
  <si>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</si>
  <si>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</si>
  <si>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</si>
  <si>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</si>
  <si>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</si>
  <si>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</si>
  <si>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</si>
  <si>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</si>
  <si>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</si>
  <si>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</si>
  <si>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</si>
  <si>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</si>
  <si>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</si>
  <si>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</si>
  <si>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</si>
  <si>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</si>
  <si>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</si>
  <si>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</si>
  <si>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</si>
  <si>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</si>
  <si>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</si>
  <si>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</si>
  <si>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</si>
  <si>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</si>
  <si>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</si>
  <si>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</si>
  <si>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</si>
  <si>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</si>
  <si>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</si>
  <si>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</si>
  <si>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</si>
  <si>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</si>
  <si>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</si>
  <si>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</si>
  <si>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</si>
  <si>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</si>
  <si>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</si>
  <si>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</si>
  <si>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</si>
  <si>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</si>
  <si>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</si>
  <si>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</si>
  <si>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</si>
  <si>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</si>
  <si>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</si>
  <si>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</si>
  <si>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</si>
  <si>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</si>
  <si>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</si>
  <si>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</si>
  <si>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</si>
  <si>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</si>
  <si>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</si>
  <si>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</si>
  <si>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</si>
  <si>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</si>
  <si>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</si>
  <si>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</si>
  <si>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</si>
  <si>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</si>
  <si>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</si>
  <si>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</si>
  <si>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</si>
  <si>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</si>
  <si>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</si>
  <si>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</si>
  <si>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</si>
  <si>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</si>
  <si>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</si>
  <si>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</si>
  <si>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</si>
  <si>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</si>
  <si>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</si>
  <si>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</si>
  <si>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</si>
  <si>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</si>
  <si>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</si>
  <si>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</si>
  <si>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</si>
  <si>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</si>
  <si>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</si>
  <si>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</si>
  <si>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</si>
  <si>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</si>
  <si>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</si>
  <si>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</si>
  <si>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</si>
  <si>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</si>
  <si>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</si>
  <si>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</si>
  <si>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</si>
  <si>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</si>
  <si>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</si>
  <si>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</si>
  <si>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</si>
  <si>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</si>
  <si>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</si>
  <si>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</si>
  <si>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</si>
  <si>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</si>
  <si>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</si>
  <si>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</si>
  <si>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</si>
  <si>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</si>
  <si>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</si>
  <si>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</si>
  <si>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</si>
  <si>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</si>
  <si>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</si>
  <si>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</si>
  <si>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</si>
  <si>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</si>
  <si>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</si>
  <si>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</si>
  <si>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</si>
  <si>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</si>
  <si>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</si>
  <si>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</si>
  <si>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</si>
  <si>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</si>
  <si>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</si>
  <si>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</si>
  <si>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</si>
  <si>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</si>
  <si>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</si>
  <si>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</si>
  <si>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</si>
  <si>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</si>
  <si>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</si>
  <si>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</si>
  <si>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</si>
  <si>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</si>
  <si>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</si>
  <si>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</si>
  <si>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</si>
  <si>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</si>
  <si>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</si>
  <si>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</si>
  <si>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</si>
  <si>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</si>
  <si>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</si>
  <si>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</si>
  <si>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</si>
  <si>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</si>
  <si>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</si>
  <si>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</si>
  <si>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</si>
  <si>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</si>
  <si>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</si>
  <si>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</si>
  <si>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</si>
  <si>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</si>
  <si>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</si>
  <si>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</si>
  <si>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</si>
  <si>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</si>
  <si>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</si>
  <si>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</si>
  <si>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</si>
  <si>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</si>
  <si>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</si>
  <si>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</si>
  <si>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</si>
  <si>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</si>
  <si>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</si>
  <si>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</si>
  <si>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</si>
  <si>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</si>
  <si>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</si>
  <si>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</si>
  <si>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</si>
  <si>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</si>
  <si>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</si>
  <si>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</si>
  <si>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</si>
  <si>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</si>
  <si>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</si>
  <si>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</si>
  <si>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</si>
  <si>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</si>
  <si>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</si>
  <si>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</si>
  <si>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</si>
  <si>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</si>
  <si>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</si>
  <si>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</si>
  <si>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</si>
  <si>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</si>
  <si>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</si>
  <si>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</si>
  <si>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</si>
  <si>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</si>
  <si>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</si>
  <si>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</si>
  <si>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</si>
  <si>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</si>
  <si>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</si>
  <si>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</si>
  <si>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</si>
  <si>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</si>
  <si>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</si>
  <si>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</si>
  <si>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</si>
  <si>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</si>
  <si>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</si>
  <si>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</si>
  <si>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</si>
  <si>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</si>
  <si>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</si>
  <si>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</si>
  <si>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</si>
  <si>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</si>
  <si>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</si>
  <si>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</si>
  <si>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</si>
  <si>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</si>
  <si>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</si>
  <si>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</si>
  <si>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</si>
  <si>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</si>
  <si>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</si>
  <si>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</si>
  <si>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</si>
  <si>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</si>
  <si>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</si>
  <si>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</si>
  <si>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</si>
  <si>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</si>
  <si>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</si>
  <si>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</si>
  <si>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</si>
  <si>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</si>
  <si>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</si>
  <si>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</si>
  <si>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</si>
  <si>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</si>
  <si>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</si>
  <si>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</si>
  <si>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</si>
  <si>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</si>
  <si>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</si>
  <si>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</si>
  <si>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</si>
  <si>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</si>
  <si>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</si>
  <si>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</si>
  <si>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</si>
  <si>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</si>
  <si>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</si>
  <si>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</si>
  <si>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</si>
  <si>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</si>
  <si>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</si>
  <si>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</si>
  <si>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</si>
  <si>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</si>
  <si>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</si>
  <si>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</si>
  <si>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</si>
  <si>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</si>
  <si>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</si>
  <si>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</si>
  <si>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</si>
  <si>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</si>
  <si>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</si>
  <si>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</si>
  <si>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</si>
  <si>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</si>
  <si>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</si>
  <si>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</si>
  <si>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</si>
  <si>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</si>
  <si>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</si>
  <si>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</si>
  <si>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</si>
  <si>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</si>
  <si>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</si>
  <si>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</si>
  <si>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</si>
  <si>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</si>
  <si>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</si>
  <si>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</si>
  <si>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</si>
  <si>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</si>
  <si>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</si>
  <si>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</si>
  <si>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</si>
  <si>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</si>
  <si>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</si>
  <si>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</si>
  <si>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</si>
  <si>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</si>
  <si>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</si>
  <si>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</si>
  <si>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</si>
  <si>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</si>
  <si>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</si>
  <si>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</si>
  <si>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</si>
  <si>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</si>
  <si>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</si>
  <si>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</si>
  <si>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</si>
  <si>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</si>
  <si>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</si>
  <si>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</si>
  <si>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</si>
  <si>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</si>
  <si>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</si>
  <si>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</si>
  <si>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</si>
  <si>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</si>
  <si>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</si>
  <si>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</si>
  <si>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</si>
  <si>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</si>
  <si>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</si>
  <si>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</si>
  <si>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</si>
  <si>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</si>
  <si>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</si>
  <si>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</si>
  <si>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</si>
  <si>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</si>
  <si>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</si>
  <si>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</si>
  <si>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</si>
  <si>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</si>
  <si>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</si>
  <si>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</si>
  <si>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</si>
  <si>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</si>
  <si>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</si>
  <si>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</si>
  <si>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</si>
  <si>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</si>
  <si>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</si>
  <si>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</si>
  <si>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</si>
  <si>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</si>
  <si>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</si>
  <si>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</si>
  <si>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</si>
  <si>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</si>
  <si>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</si>
  <si>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</si>
  <si>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</si>
  <si>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</si>
  <si>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</si>
  <si>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</si>
  <si>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</si>
  <si>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</si>
  <si>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</si>
  <si>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</si>
  <si>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</si>
  <si>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</si>
  <si>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</si>
  <si>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</si>
  <si>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</si>
  <si>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</si>
  <si>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</si>
  <si>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</si>
  <si>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</si>
  <si>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</si>
  <si>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</si>
  <si>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</si>
  <si>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</si>
  <si>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</si>
  <si>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</si>
  <si>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</si>
  <si>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</si>
  <si>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</si>
  <si>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</si>
  <si>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</si>
  <si>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</si>
  <si>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</si>
  <si>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</si>
  <si>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</si>
  <si>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</si>
  <si>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</si>
  <si>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</si>
  <si>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</si>
  <si>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</si>
  <si>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</si>
  <si>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</si>
  <si>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</si>
  <si>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</si>
  <si>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</si>
  <si>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</si>
  <si>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</si>
  <si>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</si>
  <si>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</si>
  <si>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</si>
  <si>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</si>
  <si>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</si>
  <si>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</si>
  <si>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</si>
  <si>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</si>
  <si>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</si>
  <si>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</si>
  <si>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</si>
  <si>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</si>
  <si>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</si>
  <si>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</si>
  <si>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</si>
  <si>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</si>
  <si>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</si>
  <si>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</si>
  <si>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</si>
  <si>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</si>
  <si>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</si>
  <si>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</si>
  <si>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</si>
  <si>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</si>
  <si>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</si>
  <si>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</si>
  <si>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</si>
  <si>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</si>
  <si>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</si>
  <si>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</si>
  <si>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</si>
  <si>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</si>
  <si>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</si>
  <si>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</si>
  <si>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</si>
  <si>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</si>
  <si>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</si>
  <si>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</si>
  <si>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</si>
  <si>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</si>
  <si>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</si>
  <si>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</si>
  <si>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</si>
  <si>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</si>
  <si>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</si>
  <si>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</si>
  <si>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</si>
  <si>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</si>
  <si>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</si>
  <si>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</si>
  <si>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</si>
  <si>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</si>
  <si>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</si>
  <si>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</si>
  <si>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</si>
  <si>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</si>
  <si>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</si>
  <si>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</si>
  <si>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</si>
  <si>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</si>
  <si>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</si>
  <si>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</si>
  <si>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</si>
  <si>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</si>
  <si>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</si>
  <si>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</si>
  <si>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</si>
  <si>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</si>
  <si>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</si>
  <si>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</si>
  <si>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</si>
  <si>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</si>
  <si>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</si>
  <si>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</si>
  <si>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</si>
  <si>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</si>
  <si>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</si>
  <si>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</si>
  <si>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</si>
  <si>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</si>
  <si>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</si>
  <si>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</si>
  <si>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</si>
  <si>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</si>
  <si>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</si>
  <si>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</si>
  <si>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</si>
  <si>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</si>
  <si>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</si>
  <si>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</si>
  <si>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</si>
  <si>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</si>
  <si>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</si>
  <si>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</si>
  <si>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</si>
  <si>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</si>
  <si>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</si>
  <si>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</si>
  <si>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</si>
  <si>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</si>
  <si>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</si>
  <si>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</si>
  <si>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</si>
  <si>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</si>
  <si>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</si>
  <si>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</si>
  <si>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</si>
  <si>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</si>
  <si>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</si>
  <si>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</si>
  <si>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</si>
  <si>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</si>
  <si>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</si>
  <si>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</si>
  <si>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</si>
  <si>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</si>
  <si>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</si>
  <si>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</si>
  <si>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</si>
  <si>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</si>
  <si>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</si>
  <si>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</si>
  <si>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</si>
  <si>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</si>
  <si>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</si>
  <si>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</si>
  <si>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</si>
  <si>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</si>
  <si>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</si>
  <si>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</si>
  <si>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</si>
  <si>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</si>
  <si>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</si>
  <si>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</si>
  <si>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</si>
  <si>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</si>
  <si>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</si>
  <si>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</si>
  <si>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</si>
  <si>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</si>
  <si>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</si>
  <si>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</si>
  <si>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</si>
  <si>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</si>
  <si>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</si>
  <si>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</si>
  <si>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</si>
  <si>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</si>
  <si>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</si>
  <si>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</si>
  <si>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</si>
  <si>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</si>
  <si>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</si>
  <si>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</si>
  <si>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</si>
  <si>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</si>
  <si>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</si>
  <si>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</si>
  <si>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</si>
  <si>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</si>
  <si>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</si>
  <si>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</si>
  <si>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</si>
  <si>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</si>
  <si>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</si>
  <si>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</si>
  <si>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</si>
  <si>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</si>
  <si>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</si>
  <si>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</si>
  <si>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</si>
  <si>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</si>
  <si>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</si>
  <si>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</si>
  <si>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</si>
  <si>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</si>
  <si>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</si>
  <si>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</si>
  <si>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</si>
  <si>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</si>
  <si>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</si>
  <si>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</si>
  <si>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</si>
  <si>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</si>
  <si>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</si>
  <si>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</si>
  <si>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</si>
  <si>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</si>
  <si>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</si>
  <si>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</si>
  <si>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</si>
  <si>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</si>
  <si>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</si>
  <si>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</si>
  <si>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</si>
  <si>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</si>
  <si>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</si>
  <si>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</si>
  <si>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</si>
  <si>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</si>
  <si>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</si>
  <si>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</si>
  <si>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</si>
  <si>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</si>
  <si>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</si>
  <si>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</si>
  <si>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</si>
  <si>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</si>
  <si>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</si>
  <si>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</si>
  <si>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</si>
  <si>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</si>
  <si>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</si>
  <si>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</si>
  <si>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</si>
  <si>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</si>
  <si>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</si>
  <si>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</si>
  <si>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</si>
  <si>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</si>
  <si>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</si>
  <si>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</si>
  <si>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</si>
  <si>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</si>
  <si>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</si>
  <si>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</si>
  <si>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</si>
  <si>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</si>
  <si>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</si>
  <si>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</si>
  <si>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</si>
  <si>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</si>
  <si>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</si>
  <si>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</si>
  <si>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</si>
  <si>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</si>
  <si>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</si>
  <si>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</si>
  <si>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</si>
  <si>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</si>
  <si>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</si>
  <si>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</si>
  <si>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</si>
  <si>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</si>
  <si>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</si>
  <si>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</si>
  <si>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</si>
  <si>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</si>
  <si>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</si>
  <si>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</si>
  <si>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</si>
  <si>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</si>
  <si>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</si>
  <si>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</si>
  <si>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</si>
  <si>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</si>
  <si>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</si>
  <si>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</si>
  <si>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</si>
  <si>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</si>
  <si>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</si>
  <si>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</si>
  <si>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</si>
  <si>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</si>
  <si>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</si>
  <si>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</si>
  <si>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</si>
  <si>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</si>
  <si>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</si>
  <si>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</si>
  <si>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</si>
  <si>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</si>
  <si>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</si>
  <si>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</si>
  <si>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</si>
  <si>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</si>
  <si>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</si>
  <si>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</si>
  <si>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</si>
  <si>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</si>
  <si>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</si>
  <si>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</si>
  <si>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</si>
  <si>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</si>
  <si>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</si>
  <si>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</si>
  <si>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</si>
  <si>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</si>
  <si>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</si>
  <si>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</si>
  <si>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</si>
  <si>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</si>
  <si>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</si>
  <si>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</si>
  <si>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</si>
  <si>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</si>
  <si>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</si>
  <si>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</si>
  <si>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</si>
  <si>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</si>
  <si>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</si>
  <si>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</si>
  <si>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</si>
  <si>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</si>
  <si>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</si>
  <si>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</si>
  <si>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</si>
  <si>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</si>
  <si>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</si>
  <si>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</si>
  <si>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</si>
  <si>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</si>
  <si>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</si>
  <si>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</si>
  <si>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</si>
  <si>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</si>
  <si>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</si>
  <si>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</si>
  <si>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</si>
  <si>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</si>
  <si>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</si>
  <si>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</si>
  <si>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</si>
  <si>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</si>
  <si>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</si>
  <si>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</si>
  <si>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</si>
  <si>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</si>
  <si>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</si>
  <si>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</si>
  <si>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</si>
  <si>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</si>
  <si>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</si>
  <si>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</si>
  <si>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</si>
  <si>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</si>
  <si>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</si>
  <si>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</si>
  <si>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</si>
  <si>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</si>
  <si>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</si>
  <si>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</si>
  <si>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</si>
  <si>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</si>
  <si>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</si>
  <si>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</si>
  <si>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</si>
  <si>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</si>
  <si>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</si>
  <si>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</si>
  <si>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</si>
  <si>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</si>
  <si>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</si>
  <si>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</si>
  <si>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</si>
  <si>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</si>
  <si>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</si>
  <si>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</si>
  <si>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</si>
  <si>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</si>
  <si>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</si>
  <si>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</si>
  <si>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</si>
  <si>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</si>
  <si>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</si>
  <si>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</si>
  <si>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</si>
  <si>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</si>
  <si>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</si>
  <si>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</si>
  <si>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</si>
  <si>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</si>
  <si>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</si>
  <si>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</si>
  <si>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</si>
  <si>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</si>
  <si>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</si>
  <si>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</si>
  <si>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</si>
  <si>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</si>
  <si>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</si>
  <si>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</si>
  <si>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</si>
  <si>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</si>
  <si>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</si>
  <si>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</si>
  <si>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</si>
  <si>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</si>
  <si>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</si>
  <si>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</si>
  <si>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</si>
  <si>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</si>
  <si>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</si>
  <si>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</si>
  <si>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</si>
  <si>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</si>
  <si>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</si>
  <si>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</si>
  <si>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</si>
  <si>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</si>
  <si>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</si>
  <si>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</si>
  <si>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</si>
  <si>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</si>
  <si>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</si>
  <si>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</si>
  <si>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</si>
  <si>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</si>
  <si>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</si>
  <si>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</si>
  <si>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</si>
  <si>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</si>
  <si>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</si>
  <si>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</si>
  <si>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</si>
  <si>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</si>
  <si>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</si>
  <si>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</si>
  <si>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</si>
  <si>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</si>
  <si>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</si>
  <si>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</si>
  <si>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</si>
  <si>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</si>
  <si>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</si>
  <si>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</si>
  <si>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</si>
  <si>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</si>
  <si>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</si>
  <si>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</si>
  <si>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</si>
  <si>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</si>
  <si>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</si>
  <si>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</si>
  <si>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</si>
  <si>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</si>
  <si>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</si>
  <si>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</si>
  <si>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</si>
  <si>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</si>
  <si>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</si>
  <si>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</si>
  <si>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</si>
  <si>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</si>
  <si>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</si>
  <si>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</si>
  <si>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</si>
  <si>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</si>
  <si>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</si>
  <si>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</si>
  <si>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</si>
  <si>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</si>
  <si>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</si>
  <si>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</si>
  <si>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</si>
  <si>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</si>
  <si>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</si>
  <si>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</si>
  <si>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</si>
  <si>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</si>
  <si>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</si>
  <si>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</si>
  <si>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</si>
  <si>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</si>
  <si>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</si>
  <si>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</si>
  <si>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</si>
  <si>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</si>
  <si>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</si>
  <si>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</si>
  <si>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</si>
  <si>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</si>
  <si>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</si>
  <si>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</si>
  <si>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</si>
  <si>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</si>
  <si>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</si>
  <si>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</si>
  <si>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</si>
  <si>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</si>
  <si>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</si>
  <si>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</si>
  <si>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</si>
  <si>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</si>
  <si>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</si>
  <si>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</si>
  <si>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</si>
  <si>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</si>
  <si>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</si>
  <si>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</si>
  <si>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</si>
  <si>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</si>
  <si>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</si>
  <si>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</si>
  <si>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</si>
  <si>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</si>
  <si>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</si>
  <si>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</si>
  <si>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</si>
  <si>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</si>
  <si>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</si>
  <si>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</si>
  <si>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</si>
  <si>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</si>
  <si>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</si>
  <si>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</si>
  <si>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</si>
  <si>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</si>
  <si>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</si>
  <si>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</si>
  <si>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</si>
  <si>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</si>
  <si>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</si>
  <si>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</si>
  <si>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</si>
  <si>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</si>
  <si>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</si>
  <si>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</si>
  <si>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</si>
  <si>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</si>
  <si>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</si>
  <si>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</si>
  <si>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</si>
  <si>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</si>
  <si>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</si>
  <si>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</si>
  <si>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</si>
  <si>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</si>
  <si>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</si>
  <si>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</si>
  <si>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</si>
  <si>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</si>
  <si>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</si>
  <si>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</si>
  <si>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</si>
  <si>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</si>
  <si>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</si>
  <si>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</si>
  <si>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</si>
  <si>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</si>
  <si>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</si>
  <si>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</si>
  <si>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</si>
  <si>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</si>
  <si>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</si>
  <si>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</si>
  <si>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</si>
  <si>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</si>
  <si>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</si>
  <si>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</si>
  <si>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</si>
  <si>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</si>
  <si>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</si>
  <si>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</si>
  <si>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</si>
  <si>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</si>
  <si>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</si>
  <si>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</si>
  <si>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</si>
  <si>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</si>
  <si>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</si>
  <si>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</si>
  <si>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</si>
  <si>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</si>
  <si>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</si>
  <si>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</si>
  <si>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</si>
  <si>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</si>
  <si>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</si>
  <si>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</si>
  <si>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</si>
  <si>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</si>
  <si>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</si>
  <si>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</si>
  <si>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</si>
  <si>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</si>
  <si>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</si>
  <si>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</si>
  <si>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</si>
  <si>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</si>
  <si>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</si>
  <si>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</si>
  <si>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</si>
  <si>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</si>
  <si>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</si>
  <si>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</si>
  <si>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</si>
  <si>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</si>
  <si>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</si>
  <si>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</si>
  <si>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</si>
  <si>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</si>
  <si>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</si>
  <si>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</si>
  <si>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</si>
  <si>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</si>
  <si>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</si>
  <si>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</si>
  <si>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</si>
  <si>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</si>
  <si>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</si>
  <si>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</si>
  <si>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</si>
  <si>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</si>
  <si>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</si>
  <si>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</si>
  <si>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</si>
  <si>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</si>
  <si>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</si>
  <si>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</si>
  <si>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</si>
  <si>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</si>
  <si>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</si>
  <si>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</si>
  <si>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</si>
  <si>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</si>
  <si>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</si>
  <si>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</si>
  <si>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</si>
  <si>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</si>
  <si>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</si>
  <si>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</si>
  <si>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</si>
  <si>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</si>
  <si>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</si>
  <si>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</si>
  <si>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</si>
  <si>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</si>
  <si>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</si>
  <si>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</si>
  <si>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</si>
  <si>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</si>
  <si>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</si>
  <si>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</si>
  <si>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</si>
  <si>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</si>
  <si>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</si>
  <si>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</si>
  <si>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</si>
  <si>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</si>
  <si>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</si>
  <si>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</si>
  <si>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</si>
  <si>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</si>
  <si>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</si>
  <si>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</si>
  <si>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</si>
  <si>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</si>
  <si>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</si>
  <si>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</si>
  <si>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</si>
  <si>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</si>
  <si>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</si>
  <si>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</si>
  <si>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</si>
  <si>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</si>
  <si>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</si>
  <si>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</si>
  <si>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</si>
  <si>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</si>
  <si>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</si>
  <si>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</si>
  <si>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</si>
  <si>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</si>
  <si>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</si>
  <si>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</si>
  <si>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</si>
  <si>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</si>
  <si>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</si>
  <si>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</si>
  <si>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</si>
  <si>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</si>
  <si>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</si>
  <si>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</si>
  <si>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</si>
  <si>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</si>
  <si>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</si>
  <si>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</si>
  <si>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</si>
  <si>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</si>
  <si>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</si>
  <si>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</si>
  <si>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</si>
  <si>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</si>
  <si>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</si>
  <si>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</si>
  <si>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</si>
  <si>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</si>
  <si>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</si>
  <si>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</si>
  <si>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</si>
  <si>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</si>
  <si>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</si>
  <si>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</si>
  <si>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</si>
  <si>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</si>
  <si>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</si>
  <si>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</si>
  <si>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</si>
  <si>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</si>
  <si>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</si>
  <si>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</si>
  <si>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</si>
  <si>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</si>
  <si>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</si>
  <si>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</si>
  <si>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</si>
  <si>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</si>
  <si>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</si>
  <si>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</si>
  <si>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</si>
  <si>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</si>
  <si>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</si>
  <si>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</si>
  <si>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</si>
  <si>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</si>
  <si>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</si>
  <si>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</si>
  <si>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</si>
  <si>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</si>
  <si>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</si>
  <si>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</si>
  <si>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</si>
  <si>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</si>
  <si>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</si>
  <si>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</si>
  <si>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</si>
  <si>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</si>
  <si>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</si>
  <si>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</si>
  <si>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</si>
  <si>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</si>
  <si>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</si>
  <si>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</si>
  <si>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</si>
  <si>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</si>
  <si>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</si>
  <si>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</si>
  <si>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</si>
  <si>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</si>
  <si>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</si>
  <si>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</si>
  <si>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</si>
  <si>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</si>
  <si>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</si>
  <si>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</si>
  <si>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</si>
  <si>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</si>
  <si>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</si>
  <si>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</si>
  <si>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</si>
  <si>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</si>
  <si>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</si>
  <si>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</si>
  <si>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</si>
  <si>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</si>
  <si>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</si>
  <si>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</si>
  <si>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</si>
  <si>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</si>
  <si>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</si>
  <si>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</si>
  <si>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</si>
  <si>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</si>
  <si>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</si>
  <si>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</si>
  <si>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</si>
  <si>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</si>
  <si>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</si>
  <si>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</si>
  <si>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</si>
  <si>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</si>
  <si>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</si>
  <si>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</si>
  <si>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</si>
  <si>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</si>
  <si>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</si>
  <si>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</si>
  <si>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</si>
  <si>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</si>
  <si>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</si>
  <si>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</si>
  <si>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</si>
  <si>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</si>
  <si>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</si>
  <si>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</si>
  <si>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</si>
  <si>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</si>
  <si>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</si>
  <si>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</si>
  <si>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</si>
  <si>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</si>
  <si>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</si>
  <si>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</si>
  <si>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</si>
  <si>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</si>
  <si>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</si>
  <si>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</si>
  <si>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</si>
  <si>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</si>
  <si>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</si>
  <si>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</si>
  <si>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</si>
  <si>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</si>
  <si>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</si>
  <si>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</si>
  <si>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</si>
  <si>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</si>
  <si>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</si>
  <si>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</si>
  <si>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</si>
  <si>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</si>
  <si>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</si>
  <si>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</si>
  <si>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</si>
  <si>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</si>
  <si>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</si>
  <si>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</si>
  <si>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</si>
  <si>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</si>
  <si>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</si>
  <si>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</si>
  <si>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</si>
  <si>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</si>
  <si>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</si>
  <si>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</si>
  <si>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</si>
  <si>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</si>
  <si>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</si>
  <si>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</si>
  <si>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</si>
  <si>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</si>
  <si>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</si>
  <si>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</si>
  <si>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</si>
  <si>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</si>
  <si>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</si>
  <si>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</si>
  <si>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</si>
  <si>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</si>
  <si>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</si>
  <si>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</si>
  <si>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</si>
  <si>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</si>
  <si>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</si>
  <si>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</si>
  <si>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</si>
  <si>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</si>
  <si>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</si>
  <si>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</si>
  <si>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</si>
  <si>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</si>
  <si>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</si>
  <si>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</si>
  <si>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</si>
  <si>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</si>
  <si>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</si>
  <si>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</si>
  <si>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</si>
  <si>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</si>
  <si>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</si>
  <si>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</si>
  <si>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</si>
  <si>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</si>
  <si>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</si>
  <si>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</si>
  <si>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</si>
  <si>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</si>
  <si>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</si>
  <si>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</si>
  <si>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</si>
  <si>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</si>
  <si>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</si>
  <si>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</si>
  <si>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</si>
  <si>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</si>
  <si>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</si>
  <si>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</si>
  <si>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</si>
  <si>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</si>
  <si>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</si>
  <si>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</si>
  <si>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</si>
  <si>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</si>
  <si>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</si>
  <si>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</si>
  <si>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</si>
  <si>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</si>
  <si>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</si>
  <si>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</si>
  <si>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</si>
  <si>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</si>
  <si>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</si>
  <si>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</si>
  <si>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</si>
  <si>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</si>
  <si>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</si>
  <si>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</si>
  <si>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</si>
  <si>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</si>
  <si>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</si>
  <si>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</si>
  <si>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</si>
  <si>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</si>
  <si>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</si>
  <si>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</si>
  <si>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</si>
  <si>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</si>
  <si>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</si>
  <si>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</si>
  <si>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</si>
  <si>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</si>
  <si>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</si>
  <si>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</si>
  <si>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</si>
  <si>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</si>
  <si>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</si>
  <si>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</si>
  <si>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</si>
  <si>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</si>
  <si>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</si>
  <si>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</si>
  <si>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</si>
  <si>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</si>
  <si>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</si>
  <si>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</si>
  <si>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</si>
  <si>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</si>
  <si>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</si>
  <si>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</si>
  <si>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</si>
  <si>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</si>
  <si>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</si>
  <si>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</si>
  <si>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</si>
  <si>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</si>
  <si>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</si>
  <si>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</si>
  <si>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</si>
  <si>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</si>
  <si>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</si>
  <si>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</si>
  <si>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</si>
  <si>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</si>
  <si>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</si>
  <si>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</si>
  <si>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</si>
  <si>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</si>
  <si>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</si>
  <si>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</si>
  <si>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</si>
  <si>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</si>
  <si>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</si>
  <si>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</si>
  <si>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</si>
  <si>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</si>
  <si>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</si>
  <si>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</si>
  <si>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</si>
  <si>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</si>
  <si>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</si>
  <si>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</si>
  <si>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</si>
  <si>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</si>
  <si>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</si>
  <si>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</si>
  <si>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</si>
  <si>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</si>
  <si>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</si>
  <si>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</si>
  <si>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</si>
  <si>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</si>
  <si>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</si>
  <si>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</si>
  <si>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</si>
  <si>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</si>
  <si>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</si>
  <si>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</si>
  <si>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</si>
  <si>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</si>
  <si>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</si>
  <si>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</si>
  <si>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</si>
  <si>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</si>
  <si>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</si>
  <si>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</si>
  <si>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</si>
  <si>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</si>
  <si>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</si>
  <si>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</si>
  <si>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</si>
  <si>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</si>
  <si>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</si>
  <si>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</si>
  <si>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</si>
  <si>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</si>
  <si>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</si>
  <si>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</si>
  <si>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</si>
  <si>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</si>
  <si>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</si>
  <si>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</si>
  <si>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</si>
  <si>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</si>
  <si>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</si>
  <si>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</si>
  <si>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</si>
  <si>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</si>
  <si>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</si>
  <si>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</si>
  <si>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</si>
  <si>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</si>
  <si>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</si>
  <si>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</si>
  <si>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</si>
  <si>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</si>
  <si>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</si>
  <si>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</si>
  <si>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</si>
  <si>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</si>
  <si>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</si>
  <si>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</si>
  <si>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</si>
  <si>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</si>
  <si>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</si>
  <si>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</si>
  <si>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</si>
  <si>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</si>
  <si>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</si>
  <si>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</si>
  <si>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</si>
  <si>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</si>
  <si>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</si>
  <si>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</si>
  <si>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</si>
  <si>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</si>
  <si>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</si>
  <si>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</si>
  <si>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</si>
  <si>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</si>
  <si>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</si>
  <si>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</si>
  <si>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</si>
  <si>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</si>
  <si>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</si>
  <si>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</si>
  <si>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</si>
  <si>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</si>
  <si>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</si>
  <si>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</si>
  <si>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</si>
  <si>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</si>
  <si>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</si>
  <si>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</si>
  <si>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</si>
  <si>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</si>
  <si>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</si>
  <si>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</si>
  <si>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</si>
  <si>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</si>
  <si>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</si>
  <si>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</si>
  <si>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</si>
  <si>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</si>
  <si>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</si>
  <si>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</si>
  <si>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</si>
  <si>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</si>
  <si>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</si>
  <si>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</si>
  <si>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</si>
  <si>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</si>
  <si>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</si>
  <si>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</si>
  <si>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</si>
  <si>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</si>
  <si>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</si>
  <si>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</si>
  <si>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</si>
  <si>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</si>
  <si>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</si>
  <si>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</si>
  <si>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</si>
  <si>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</si>
  <si>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</si>
  <si>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</si>
  <si>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</si>
  <si>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</si>
  <si>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</si>
  <si>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</si>
  <si>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</si>
  <si>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</si>
  <si>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</si>
  <si>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</si>
  <si>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</si>
  <si>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</si>
  <si>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</si>
  <si>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</si>
  <si>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</si>
  <si>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</si>
  <si>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</si>
  <si>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</si>
  <si>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</si>
  <si>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</si>
  <si>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</si>
  <si>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</si>
  <si>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</si>
  <si>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</si>
  <si>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</si>
  <si>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</si>
  <si>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</si>
  <si>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</si>
  <si>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</si>
  <si>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</si>
  <si>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</si>
  <si>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</si>
  <si>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</si>
  <si>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</si>
  <si>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</si>
  <si>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</si>
  <si>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</si>
  <si>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</si>
  <si>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</si>
  <si>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</si>
  <si>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</si>
  <si>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</si>
  <si>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</si>
  <si>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</si>
  <si>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</si>
  <si>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</si>
  <si>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</si>
  <si>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</si>
  <si>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</si>
  <si>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</si>
  <si>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</si>
  <si>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</si>
  <si>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</si>
  <si>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</si>
  <si>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</si>
  <si>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</si>
  <si>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</si>
  <si>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</si>
  <si>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</si>
  <si>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</si>
  <si>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</si>
  <si>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</si>
  <si>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</si>
  <si>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</si>
  <si>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</si>
  <si>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</si>
  <si>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</si>
  <si>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</si>
  <si>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</si>
  <si>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</si>
  <si>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</si>
  <si>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</si>
  <si>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</si>
  <si>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</si>
  <si>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</si>
  <si>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</si>
  <si>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</si>
  <si>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</si>
  <si>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</si>
  <si>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</si>
  <si>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</si>
  <si>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</si>
  <si>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</si>
  <si>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</si>
  <si>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</si>
  <si>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</si>
  <si>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</si>
  <si>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</si>
  <si>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</si>
  <si>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</si>
  <si>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</si>
  <si>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</si>
  <si>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</si>
  <si>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</si>
  <si>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</si>
  <si>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</si>
  <si>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</si>
  <si>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</si>
  <si>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</si>
  <si>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</si>
  <si>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</si>
  <si>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</si>
  <si>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</si>
  <si>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</si>
  <si>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</si>
  <si>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</si>
  <si>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</si>
  <si>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</si>
  <si>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</si>
  <si>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</si>
  <si>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</si>
  <si>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</si>
  <si>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</si>
  <si>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</si>
  <si>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</si>
  <si>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</si>
  <si>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</si>
  <si>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</si>
  <si>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</si>
  <si>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</si>
  <si>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</si>
  <si>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</si>
  <si>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</si>
  <si>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</si>
  <si>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</si>
  <si>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</si>
  <si>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</si>
  <si>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</si>
  <si>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</si>
  <si>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</si>
  <si>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</si>
  <si>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</si>
  <si>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</si>
  <si>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</si>
  <si>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</si>
  <si>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</si>
  <si>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</si>
  <si>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</si>
  <si>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</si>
  <si>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</si>
  <si>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</si>
  <si>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</si>
  <si>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</si>
  <si>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</si>
  <si>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</si>
  <si>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</si>
  <si>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</si>
  <si>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</si>
  <si>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</si>
  <si>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</si>
  <si>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</si>
  <si>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</si>
  <si>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</si>
  <si>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</si>
  <si>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</si>
  <si>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</si>
  <si>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</si>
  <si>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</si>
  <si>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</si>
  <si>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</si>
  <si>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</si>
  <si>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</si>
  <si>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</si>
  <si>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</si>
  <si>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</si>
  <si>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</si>
  <si>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</si>
  <si>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</si>
  <si>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</si>
  <si>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</si>
  <si>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</si>
  <si>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</si>
  <si>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</si>
  <si>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</si>
  <si>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</si>
  <si>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</si>
  <si>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</si>
  <si>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</si>
  <si>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</si>
  <si>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</si>
  <si>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</si>
  <si>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</si>
  <si>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</si>
  <si>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</si>
  <si>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</si>
  <si>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</si>
  <si>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</si>
  <si>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</si>
  <si>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</si>
  <si>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</si>
  <si>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</si>
  <si>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</si>
  <si>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</si>
  <si>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</si>
  <si>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</si>
  <si>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</si>
  <si>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</si>
  <si>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</si>
  <si>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</si>
  <si>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</si>
  <si>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</si>
  <si>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</si>
  <si>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</si>
  <si>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</si>
  <si>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</si>
  <si>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</si>
  <si>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</si>
  <si>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</si>
  <si>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</si>
  <si>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</si>
  <si>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</si>
  <si>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</si>
  <si>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</si>
  <si>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</si>
  <si>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</si>
  <si>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</si>
  <si>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</si>
  <si>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</si>
  <si>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</si>
  <si>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</si>
  <si>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</si>
  <si>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</si>
  <si>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</si>
  <si>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</si>
  <si>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</si>
  <si>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</si>
  <si>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</si>
  <si>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</si>
  <si>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</si>
  <si>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</si>
  <si>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</si>
  <si>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</si>
  <si>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</si>
  <si>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</si>
  <si>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</si>
  <si>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</si>
  <si>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</si>
  <si>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</si>
  <si>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</si>
  <si>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</si>
  <si>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</si>
  <si>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</si>
  <si>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</si>
  <si>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</si>
  <si>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</si>
  <si>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</si>
  <si>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</si>
  <si>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</si>
  <si>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</si>
  <si>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</si>
  <si>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</si>
  <si>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</si>
  <si>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</si>
  <si>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</si>
  <si>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</si>
  <si>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</si>
  <si>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</si>
  <si>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</si>
  <si>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</si>
  <si>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</si>
  <si>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</si>
  <si>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</si>
  <si>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</si>
  <si>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</si>
  <si>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</si>
  <si>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</si>
  <si>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</si>
  <si>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</si>
  <si>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</si>
  <si>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</si>
  <si>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</si>
  <si>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</si>
  <si>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</si>
  <si>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</si>
  <si>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</si>
  <si>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</si>
  <si>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</si>
  <si>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</si>
  <si>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</si>
  <si>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</si>
  <si>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</si>
  <si>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</si>
  <si>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</si>
  <si>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</si>
  <si>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</si>
  <si>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</si>
  <si>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</si>
  <si>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</si>
  <si>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</si>
  <si>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</si>
  <si>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</si>
  <si>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</si>
  <si>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</si>
  <si>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</si>
  <si>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</si>
  <si>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</si>
  <si>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</si>
  <si>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</si>
  <si>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</si>
  <si>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</si>
  <si>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</si>
  <si>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</si>
  <si>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</si>
  <si>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</si>
  <si>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</si>
  <si>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</si>
  <si>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</si>
  <si>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</si>
  <si>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</si>
  <si>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</si>
  <si>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</si>
  <si>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</si>
  <si>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</si>
  <si>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</si>
  <si>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</si>
  <si>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</si>
  <si>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</si>
  <si>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</si>
  <si>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</si>
  <si>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</si>
  <si>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</si>
  <si>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</si>
  <si>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</si>
  <si>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</si>
  <si>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</si>
  <si>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</si>
  <si>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</si>
  <si>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</si>
  <si>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</si>
  <si>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</si>
  <si>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</si>
  <si>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</si>
  <si>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</si>
  <si>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</si>
  <si>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</si>
  <si>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</si>
  <si>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</si>
  <si>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</si>
  <si>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</si>
  <si>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</si>
  <si>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</si>
  <si>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</si>
  <si>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</si>
  <si>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</si>
  <si>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</si>
  <si>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</si>
  <si>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</si>
  <si>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</si>
  <si>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</si>
  <si>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</si>
  <si>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</si>
  <si>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</si>
  <si>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</si>
  <si>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</si>
  <si>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</si>
  <si>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</si>
  <si>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</si>
  <si>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</si>
  <si>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</si>
  <si>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</si>
  <si>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</si>
  <si>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</si>
  <si>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</si>
  <si>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</si>
  <si>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</si>
  <si>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</si>
  <si>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</si>
  <si>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</si>
  <si>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</si>
  <si>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</si>
  <si>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</si>
  <si>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</si>
  <si>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</si>
  <si>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</si>
  <si>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</si>
  <si>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</si>
  <si>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</si>
  <si>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</si>
  <si>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</si>
  <si>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</si>
  <si>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</si>
  <si>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</si>
  <si>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</si>
  <si>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</si>
  <si>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</si>
  <si>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</si>
  <si>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</si>
  <si>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</si>
  <si>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</si>
  <si>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</si>
  <si>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</si>
  <si>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</si>
  <si>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</si>
  <si>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</si>
  <si>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</si>
  <si>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</si>
  <si>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</si>
  <si>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</si>
  <si>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</si>
  <si>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</si>
  <si>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</si>
  <si>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</si>
  <si>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</si>
  <si>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</si>
  <si>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</si>
  <si>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</si>
  <si>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</si>
  <si>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</si>
  <si>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</si>
  <si>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</si>
  <si>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</si>
  <si>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</si>
  <si>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</si>
  <si>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</si>
  <si>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</si>
  <si>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</si>
  <si>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</si>
  <si>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</si>
  <si>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</si>
  <si>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</si>
  <si>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</si>
  <si>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</si>
  <si>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</si>
  <si>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</si>
  <si>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</si>
  <si>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</si>
  <si>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</si>
  <si>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</si>
  <si>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</si>
  <si>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</si>
  <si>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</si>
  <si>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</si>
  <si>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</si>
  <si>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</si>
  <si>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</si>
  <si>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</si>
  <si>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</si>
  <si>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</si>
  <si>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</si>
  <si>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</si>
  <si>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</si>
  <si>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</si>
  <si>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</si>
  <si>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</si>
  <si>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</si>
  <si>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</si>
  <si>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</si>
  <si>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</si>
  <si>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</si>
  <si>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</si>
  <si>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</si>
  <si>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</si>
  <si>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</si>
  <si>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</si>
  <si>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</si>
  <si>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</si>
  <si>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</si>
  <si>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</si>
  <si>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</si>
  <si>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</si>
  <si>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</si>
  <si>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</si>
  <si>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</si>
  <si>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</si>
  <si>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</si>
  <si>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</si>
  <si>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</si>
  <si>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</si>
  <si>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</si>
  <si>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</si>
  <si>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</si>
  <si>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</si>
  <si>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</si>
  <si>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</si>
  <si>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</si>
  <si>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</si>
  <si>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</si>
  <si>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</si>
  <si>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</si>
  <si>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</si>
  <si>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</si>
  <si>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</si>
  <si>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</si>
  <si>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</si>
  <si>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</si>
  <si>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</si>
  <si>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</si>
  <si>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</si>
  <si>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</si>
  <si>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</si>
  <si>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</si>
  <si>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</si>
  <si>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</si>
  <si>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</si>
  <si>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</si>
  <si>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</si>
  <si>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</si>
  <si>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</si>
  <si>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</si>
  <si>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</si>
  <si>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</si>
  <si>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</si>
  <si>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</si>
  <si>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</si>
  <si>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</si>
  <si>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</si>
  <si>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</si>
  <si>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</si>
  <si>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</si>
  <si>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</si>
  <si>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</si>
  <si>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</si>
  <si>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</si>
  <si>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</si>
  <si>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</si>
  <si>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</si>
  <si>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</si>
  <si>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</si>
  <si>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</si>
  <si>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</si>
  <si>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</si>
  <si>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</si>
  <si>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</si>
  <si>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</si>
  <si>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</si>
  <si>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</si>
  <si>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</si>
  <si>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</si>
  <si>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</si>
  <si>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</si>
  <si>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</si>
  <si>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</si>
  <si>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</si>
  <si>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</si>
  <si>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</si>
  <si>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</si>
  <si>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</si>
  <si>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</si>
  <si>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</si>
  <si>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</si>
  <si>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</si>
  <si>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</si>
  <si>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</si>
  <si>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</si>
  <si>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</si>
  <si>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</si>
  <si>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</si>
  <si>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</si>
  <si>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</si>
  <si>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</si>
  <si>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</si>
  <si>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</si>
  <si>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</si>
  <si>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</si>
  <si>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</si>
  <si>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</si>
  <si>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</si>
  <si>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</si>
  <si>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</si>
  <si>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</si>
  <si>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</si>
  <si>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</si>
  <si>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</si>
  <si>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</si>
  <si>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</si>
  <si>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</si>
  <si>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</si>
  <si>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</si>
  <si>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</si>
  <si>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</si>
  <si>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</si>
  <si>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</si>
  <si>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</si>
  <si>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</si>
  <si>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</si>
  <si>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</si>
  <si>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</si>
  <si>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</si>
  <si>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</si>
  <si>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</si>
  <si>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</si>
  <si>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</si>
  <si>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</si>
  <si>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</si>
  <si>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</si>
  <si>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</si>
  <si>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</si>
  <si>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</si>
  <si>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</si>
  <si>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</si>
  <si>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</si>
  <si>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</si>
  <si>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</si>
  <si>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</si>
  <si>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</si>
  <si>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</si>
  <si>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</si>
  <si>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</si>
  <si>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</si>
  <si>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</si>
  <si>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</si>
  <si>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</si>
  <si>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</si>
  <si>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</si>
  <si>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</si>
  <si>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</si>
  <si>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</si>
  <si>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</si>
  <si>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</si>
  <si>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</si>
  <si>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</si>
  <si>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</si>
  <si>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</si>
  <si>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</si>
  <si>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</si>
  <si>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</si>
  <si>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</si>
  <si>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</si>
  <si>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</si>
  <si>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</si>
  <si>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</si>
  <si>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</si>
  <si>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</si>
  <si>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</si>
  <si>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</si>
  <si>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</si>
  <si>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</si>
  <si>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</si>
  <si>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</si>
  <si>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</si>
  <si>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</si>
  <si>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</si>
  <si>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</si>
  <si>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</si>
  <si>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</si>
  <si>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</si>
  <si>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</si>
  <si>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</si>
  <si>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</si>
  <si>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</si>
  <si>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</si>
  <si>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</si>
  <si>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</si>
  <si>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</si>
  <si>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</si>
  <si>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</si>
  <si>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</si>
  <si>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</si>
  <si>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</si>
  <si>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</si>
  <si>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</si>
  <si>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</si>
  <si>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</si>
  <si>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</si>
  <si>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</si>
  <si>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</si>
  <si>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</si>
  <si>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</si>
  <si>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</si>
  <si>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</si>
  <si>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</si>
  <si>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</si>
  <si>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</si>
  <si>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</si>
  <si>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</si>
  <si>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</si>
  <si>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</si>
  <si>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</si>
  <si>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</si>
  <si>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</si>
  <si>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</si>
  <si>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</si>
  <si>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</si>
  <si>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</si>
  <si>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</si>
  <si>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</si>
  <si>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</si>
  <si>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</si>
  <si>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</si>
  <si>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</si>
  <si>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</si>
  <si>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</si>
  <si>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</si>
  <si>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</si>
  <si>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</si>
  <si>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</si>
  <si>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</si>
  <si>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</si>
  <si>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</si>
  <si>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</si>
  <si>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</si>
  <si>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</si>
  <si>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</si>
  <si>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</si>
  <si>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</si>
  <si>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</si>
  <si>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</si>
  <si>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</si>
  <si>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</si>
  <si>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</si>
  <si>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</si>
  <si>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</si>
  <si>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</si>
  <si>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</si>
  <si>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</si>
  <si>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</si>
  <si>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</si>
  <si>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</si>
  <si>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</si>
  <si>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</si>
  <si>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</si>
  <si>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</si>
  <si>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</si>
  <si>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</si>
  <si>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</si>
  <si>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</si>
  <si>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</si>
  <si>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</si>
  <si>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</si>
  <si>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</si>
  <si>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</si>
  <si>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</si>
  <si>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</si>
  <si>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</si>
  <si>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</si>
  <si>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</si>
  <si>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</si>
  <si>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</si>
  <si>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</si>
  <si>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</si>
  <si>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</si>
  <si>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</si>
  <si>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</si>
  <si>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</si>
  <si>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</si>
  <si>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</si>
  <si>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</si>
  <si>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</si>
  <si>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</si>
  <si>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</si>
  <si>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</si>
  <si>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</si>
  <si>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</si>
  <si>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</si>
  <si>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</si>
  <si>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</si>
  <si>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</si>
  <si>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</si>
  <si>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</si>
  <si>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</si>
  <si>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</si>
  <si>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</si>
  <si>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</si>
  <si>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</si>
  <si>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</si>
  <si>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</si>
  <si>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</si>
  <si>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</si>
  <si>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</si>
  <si>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</si>
  <si>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</si>
  <si>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</si>
  <si>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</si>
  <si>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</si>
  <si>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</si>
  <si>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</si>
  <si>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</si>
  <si>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</si>
  <si>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</si>
  <si>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</si>
  <si>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</si>
  <si>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</si>
  <si>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</si>
  <si>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</si>
  <si>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</si>
  <si>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</si>
  <si>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</si>
  <si>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</si>
  <si>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</si>
  <si>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</si>
  <si>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</si>
  <si>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</si>
  <si>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</si>
  <si>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</si>
  <si>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</si>
  <si>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</si>
  <si>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</si>
  <si>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</si>
  <si>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</si>
  <si>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</si>
  <si>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</si>
  <si>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</si>
  <si>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</si>
  <si>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</si>
  <si>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</si>
  <si>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</si>
  <si>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</si>
  <si>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</si>
  <si>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</si>
  <si>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</si>
  <si>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</si>
  <si>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</si>
  <si>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</si>
  <si>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</si>
  <si>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</si>
  <si>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</si>
  <si>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</si>
  <si>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</si>
  <si>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</si>
  <si>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</si>
  <si>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</si>
  <si>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</si>
  <si>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</si>
  <si>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</si>
  <si>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</si>
  <si>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</si>
  <si>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</si>
  <si>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</si>
  <si>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</si>
  <si>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</si>
  <si>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</si>
  <si>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</si>
  <si>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</si>
  <si>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</si>
  <si>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</si>
  <si>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</si>
  <si>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</si>
  <si>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</si>
  <si>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</si>
  <si>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</si>
  <si>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</si>
  <si>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</si>
  <si>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</si>
  <si>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</si>
  <si>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</si>
  <si>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</si>
  <si>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</si>
  <si>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</si>
  <si>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</si>
  <si>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</si>
  <si>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</si>
  <si>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</si>
  <si>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</si>
  <si>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</si>
  <si>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</si>
  <si>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</si>
  <si>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</si>
  <si>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</si>
  <si>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</si>
  <si>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</si>
  <si>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</si>
  <si>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</si>
  <si>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</si>
  <si>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</si>
  <si>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</si>
  <si>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</si>
  <si>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</si>
  <si>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</si>
  <si>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</si>
  <si>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</si>
  <si>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</si>
  <si>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</si>
  <si>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</si>
  <si>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</si>
  <si>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</si>
  <si>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</si>
  <si>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</si>
  <si>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</si>
  <si>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</si>
  <si>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</si>
  <si>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</si>
  <si>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</si>
  <si>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</si>
  <si>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</si>
  <si>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</si>
  <si>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</si>
  <si>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</si>
  <si>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</si>
  <si>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</si>
  <si>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</si>
  <si>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</si>
  <si>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</si>
  <si>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</si>
  <si>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</si>
  <si>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</si>
  <si>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</si>
  <si>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</si>
  <si>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</si>
  <si>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</si>
  <si>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</si>
  <si>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</si>
  <si>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</si>
  <si>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</si>
  <si>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</si>
  <si>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</si>
  <si>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</si>
  <si>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</si>
  <si>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</si>
  <si>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</si>
  <si>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</si>
  <si>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</si>
  <si>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</si>
  <si>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</si>
  <si>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</si>
  <si>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</si>
  <si>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</si>
  <si>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</si>
  <si>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</si>
  <si>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</si>
  <si>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</si>
  <si>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</si>
  <si>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</si>
  <si>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</si>
  <si>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</si>
  <si>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</si>
  <si>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</si>
  <si>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</si>
  <si>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</si>
  <si>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</si>
  <si>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</si>
  <si>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</si>
  <si>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</si>
  <si>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</si>
  <si>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</si>
  <si>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</si>
  <si>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</si>
  <si>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</si>
  <si>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</si>
  <si>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</si>
  <si>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</si>
  <si>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</si>
  <si>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</si>
  <si>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</si>
  <si>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</si>
  <si>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</si>
  <si>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</si>
  <si>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</si>
  <si>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</si>
  <si>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</si>
  <si>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</si>
  <si>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</si>
  <si>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</si>
  <si>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</si>
  <si>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</si>
  <si>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</si>
  <si>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</si>
  <si>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</si>
  <si>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</si>
  <si>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</si>
  <si>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</si>
  <si>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</si>
  <si>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</si>
  <si>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</si>
  <si>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</si>
  <si>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</si>
  <si>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</si>
  <si>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</si>
  <si>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</si>
  <si>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</si>
  <si>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</si>
  <si>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</si>
  <si>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</si>
  <si>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</si>
  <si>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</si>
  <si>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</si>
  <si>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</si>
  <si>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</si>
  <si>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</si>
  <si>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</si>
  <si>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</si>
  <si>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</si>
  <si>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</si>
  <si>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</si>
  <si>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</si>
  <si>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</si>
  <si>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</si>
  <si>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</si>
  <si>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</si>
  <si>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</si>
  <si>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</si>
  <si>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</si>
  <si>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</si>
  <si>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</si>
  <si>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</si>
  <si>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</si>
  <si>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</si>
  <si>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</si>
  <si>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</si>
  <si>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</si>
  <si>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</si>
  <si>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</si>
  <si>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</si>
  <si>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</si>
  <si>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</si>
  <si>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</si>
  <si>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</si>
  <si>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</si>
  <si>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</si>
  <si>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</si>
  <si>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</si>
  <si>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</si>
  <si>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</si>
  <si>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</si>
  <si>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</si>
  <si>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</si>
  <si>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</si>
  <si>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</si>
  <si>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</si>
  <si>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</si>
  <si>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</si>
  <si>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</si>
  <si>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</si>
  <si>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</si>
  <si>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</si>
  <si>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</si>
  <si>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</si>
  <si>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</si>
  <si>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</si>
  <si>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</si>
  <si>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</si>
  <si>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</si>
  <si>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</si>
  <si>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</si>
  <si>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</si>
  <si>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</si>
  <si>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</si>
  <si>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</si>
  <si>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</si>
  <si>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</si>
  <si>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</si>
  <si>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</si>
  <si>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</si>
  <si>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</si>
  <si>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</si>
  <si>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</si>
  <si>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</si>
  <si>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</si>
  <si>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</si>
  <si>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</si>
  <si>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</si>
  <si>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</si>
  <si>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</si>
  <si>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</si>
  <si>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</si>
  <si>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</si>
  <si>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</si>
  <si>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</si>
  <si>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</si>
  <si>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</si>
  <si>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</si>
  <si>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</si>
  <si>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</si>
  <si>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</si>
  <si>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</si>
  <si>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</si>
  <si>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</si>
  <si>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</si>
  <si>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</si>
  <si>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</si>
  <si>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</si>
  <si>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</si>
  <si>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</si>
  <si>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</si>
  <si>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</si>
  <si>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</si>
  <si>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</si>
  <si>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</si>
  <si>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</si>
  <si>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</si>
  <si>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</si>
  <si>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</si>
  <si>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</si>
  <si>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</si>
  <si>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</si>
  <si>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</si>
  <si>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</si>
  <si>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</si>
  <si>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</si>
  <si>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</si>
  <si>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</si>
  <si>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</si>
  <si>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</si>
  <si>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</si>
  <si>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</si>
  <si>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</si>
  <si>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</si>
  <si>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</si>
  <si>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</si>
  <si>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</si>
  <si>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</si>
  <si>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</si>
  <si>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</si>
  <si>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</si>
  <si>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</si>
  <si>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</si>
  <si>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</si>
  <si>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</si>
  <si>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</si>
  <si>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</si>
  <si>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</si>
  <si>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</si>
  <si>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</si>
  <si>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</si>
  <si>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</si>
  <si>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</si>
  <si>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</si>
  <si>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</si>
  <si>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</si>
  <si>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</si>
  <si>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</si>
  <si>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</si>
  <si>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</si>
  <si>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</si>
  <si>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</si>
  <si>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</si>
  <si>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</si>
  <si>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</si>
  <si>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</si>
  <si>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</si>
  <si>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</si>
  <si>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</si>
  <si>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</si>
  <si>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</si>
  <si>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</si>
  <si>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</si>
  <si>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</si>
  <si>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</si>
  <si>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</si>
  <si>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</si>
  <si>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</si>
  <si>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</si>
  <si>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</si>
  <si>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</si>
  <si>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</si>
  <si>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</si>
  <si>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</si>
  <si>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</si>
  <si>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</si>
  <si>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</si>
  <si>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</si>
  <si>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</si>
  <si>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</si>
  <si>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</si>
  <si>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</si>
  <si>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</si>
  <si>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</si>
  <si>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</si>
  <si>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</si>
  <si>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</si>
  <si>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</si>
  <si>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</si>
  <si>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</si>
  <si>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</si>
  <si>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</si>
  <si>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</si>
  <si>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</si>
  <si>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</si>
  <si>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</si>
  <si>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</si>
  <si>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</si>
  <si>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</si>
  <si>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</si>
  <si>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</si>
  <si>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</si>
  <si>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</si>
  <si>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</si>
  <si>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</si>
  <si>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</si>
  <si>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</si>
  <si>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</si>
  <si>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</si>
  <si>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</si>
  <si>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</si>
  <si>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</si>
  <si>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</si>
  <si>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</si>
  <si>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</si>
  <si>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</si>
  <si>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</si>
  <si>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</si>
  <si>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</si>
  <si>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</si>
  <si>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</si>
  <si>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</si>
  <si>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</si>
  <si>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</si>
  <si>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</si>
  <si>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</si>
  <si>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</si>
  <si>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</si>
  <si>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</si>
  <si>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</si>
  <si>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</si>
  <si>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</si>
  <si>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</si>
  <si>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</si>
  <si>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</si>
  <si>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</si>
  <si>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</si>
  <si>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</si>
  <si>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</si>
  <si>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</si>
  <si>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</si>
  <si>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</si>
  <si>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</si>
  <si>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</si>
  <si>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</si>
  <si>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</si>
  <si>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</si>
  <si>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</si>
  <si>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</si>
  <si>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</si>
  <si>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</si>
  <si>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</si>
  <si>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</si>
  <si>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</si>
  <si>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</si>
  <si>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</si>
  <si>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</si>
  <si>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</si>
  <si>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</si>
  <si>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</si>
  <si>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</si>
  <si>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</si>
  <si>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</si>
  <si>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</si>
  <si>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</si>
  <si>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</si>
  <si>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</si>
  <si>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</si>
  <si>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</si>
  <si>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</si>
  <si>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</si>
  <si>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</si>
  <si>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</si>
  <si>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</si>
  <si>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</si>
  <si>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</si>
  <si>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</si>
  <si>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</si>
  <si>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</si>
  <si>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</si>
  <si>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</si>
  <si>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</si>
  <si>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</si>
  <si>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</si>
  <si>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</si>
  <si>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</si>
  <si>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</si>
  <si>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</si>
  <si>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</si>
  <si>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</si>
  <si>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</si>
  <si>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</si>
  <si>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</si>
  <si>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</si>
  <si>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</si>
  <si>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</si>
  <si>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</si>
  <si>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</si>
  <si>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</si>
  <si>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</si>
  <si>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</si>
  <si>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</si>
  <si>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</si>
  <si>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</si>
  <si>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</si>
  <si>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</si>
  <si>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</si>
  <si>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</si>
  <si>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</si>
  <si>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</si>
  <si>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</si>
  <si>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</si>
  <si>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</si>
  <si>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</si>
  <si>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</si>
  <si>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</si>
  <si>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</si>
  <si>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</si>
  <si>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</si>
  <si>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</si>
  <si>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</si>
  <si>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</si>
  <si>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</si>
  <si>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</si>
  <si>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</si>
  <si>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</si>
  <si>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</si>
  <si>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</si>
  <si>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</si>
  <si>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</si>
  <si>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</si>
  <si>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</si>
  <si>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</si>
  <si>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</si>
  <si>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</si>
  <si>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</si>
  <si>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</si>
  <si>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</si>
  <si>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</si>
  <si>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</si>
  <si>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</si>
  <si>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</si>
  <si>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</si>
  <si>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</si>
  <si>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</si>
  <si>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</si>
  <si>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</si>
  <si>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</si>
  <si>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</si>
  <si>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</si>
  <si>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</si>
  <si>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</si>
  <si>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</si>
  <si>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</si>
  <si>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</si>
  <si>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</si>
  <si>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</si>
  <si>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</si>
  <si>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</si>
  <si>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</si>
  <si>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</si>
  <si>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</si>
  <si>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</si>
  <si>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</si>
  <si>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</si>
  <si>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</si>
  <si>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</si>
  <si>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</si>
  <si>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</si>
  <si>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</si>
  <si>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</si>
  <si>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</si>
  <si>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</si>
  <si>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</si>
  <si>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</si>
  <si>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</si>
  <si>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</si>
  <si>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</si>
  <si>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</si>
  <si>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</si>
  <si>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</si>
  <si>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</si>
  <si>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</si>
  <si>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</si>
  <si>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</si>
  <si>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</si>
  <si>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</si>
  <si>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</si>
  <si>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</si>
  <si>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</si>
  <si>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</si>
  <si>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</si>
  <si>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</si>
  <si>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</si>
  <si>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</si>
  <si>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</si>
  <si>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</si>
  <si>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</si>
  <si>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</si>
  <si>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</si>
  <si>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</si>
  <si>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</si>
  <si>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</si>
  <si>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</si>
  <si>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</si>
  <si>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</si>
  <si>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</si>
  <si>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</si>
  <si>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</si>
  <si>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</si>
  <si>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</si>
  <si>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</si>
  <si>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</si>
  <si>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</si>
  <si>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</si>
  <si>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</si>
  <si>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</si>
  <si>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</si>
  <si>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</si>
  <si>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</si>
  <si>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</si>
  <si>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</si>
  <si>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</si>
  <si>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</si>
  <si>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</si>
  <si>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</si>
  <si>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</si>
  <si>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</si>
  <si>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</si>
  <si>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</si>
  <si>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</si>
  <si>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</si>
  <si>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</si>
  <si>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</si>
  <si>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</si>
  <si>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</si>
  <si>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</si>
  <si>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</si>
  <si>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</si>
  <si>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</si>
  <si>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</si>
  <si>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</si>
  <si>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</si>
  <si>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</si>
  <si>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</si>
  <si>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</si>
  <si>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</si>
  <si>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</si>
  <si>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</si>
  <si>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</si>
  <si>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</si>
  <si>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</si>
  <si>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</si>
  <si>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</si>
  <si>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</si>
  <si>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</si>
  <si>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</si>
  <si>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</si>
  <si>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</si>
  <si>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</si>
  <si>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</si>
  <si>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</si>
  <si>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</si>
  <si>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</si>
  <si>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</si>
  <si>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</si>
  <si>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</si>
  <si>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</si>
  <si>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</si>
  <si>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</si>
  <si>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</si>
  <si>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</si>
  <si>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</si>
  <si>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</si>
  <si>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</si>
  <si>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</si>
  <si>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</si>
  <si>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</si>
  <si>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</si>
  <si>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</si>
  <si>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</si>
  <si>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</si>
  <si>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</si>
  <si>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</si>
  <si>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</si>
  <si>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</si>
  <si>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</si>
  <si>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</si>
  <si>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</si>
  <si>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</si>
  <si>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</si>
  <si>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</si>
  <si>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</si>
  <si>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</si>
  <si>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</si>
  <si>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</si>
  <si>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</si>
  <si>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</si>
  <si>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</si>
  <si>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</si>
  <si>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</si>
  <si>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</si>
  <si>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</si>
  <si>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</si>
  <si>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</si>
  <si>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</si>
  <si>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</si>
  <si>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</si>
  <si>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</si>
  <si>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</si>
  <si>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</si>
  <si>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</si>
  <si>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</si>
  <si>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</si>
  <si>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</si>
  <si>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</si>
  <si>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</si>
  <si>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</si>
  <si>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</si>
  <si>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</si>
  <si>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</si>
  <si>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</si>
  <si>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</si>
  <si>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</si>
  <si>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</si>
  <si>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</si>
  <si>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</si>
  <si>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</si>
  <si>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</si>
  <si>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</si>
  <si>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</si>
  <si>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</si>
  <si>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</si>
  <si>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</si>
  <si>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</si>
  <si>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</si>
  <si>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</si>
  <si>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</si>
  <si>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</si>
  <si>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</si>
  <si>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</si>
  <si>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</si>
  <si>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</si>
  <si>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</si>
  <si>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</si>
  <si>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</si>
  <si>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</si>
  <si>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</si>
  <si>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</si>
  <si>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</si>
  <si>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</si>
  <si>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</si>
  <si>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</si>
  <si>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</si>
  <si>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</si>
  <si>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</si>
  <si>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</si>
  <si>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</si>
  <si>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</si>
  <si>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</si>
  <si>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</si>
  <si>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</si>
  <si>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</si>
  <si>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</si>
  <si>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</si>
  <si>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</si>
  <si>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</si>
  <si>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</si>
  <si>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</si>
  <si>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</si>
  <si>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</si>
  <si>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</si>
  <si>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</si>
  <si>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</si>
  <si>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</si>
  <si>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</si>
  <si>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</si>
  <si>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</si>
  <si>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</si>
  <si>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</si>
  <si>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</si>
  <si>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</si>
  <si>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</si>
  <si>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</si>
  <si>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</si>
  <si>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</si>
  <si>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</si>
  <si>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</si>
  <si>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</si>
  <si>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</si>
  <si>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</si>
  <si>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</si>
  <si>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</si>
  <si>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</si>
  <si>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</si>
  <si>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</si>
  <si>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</si>
  <si>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</si>
  <si>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</si>
  <si>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</si>
  <si>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</si>
  <si>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</si>
  <si>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</si>
  <si>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</si>
  <si>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</si>
  <si>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</si>
  <si>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</si>
  <si>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</si>
  <si>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</si>
  <si>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</si>
  <si>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</si>
  <si>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</si>
  <si>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</si>
  <si>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</si>
  <si>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</si>
  <si>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</si>
  <si>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</si>
  <si>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</si>
  <si>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</si>
  <si>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</si>
  <si>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</si>
  <si>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</si>
  <si>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</si>
  <si>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</si>
  <si>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</si>
  <si>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</si>
  <si>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</si>
  <si>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</si>
  <si>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</si>
  <si>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</si>
  <si>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</si>
  <si>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</si>
  <si>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</si>
  <si>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</si>
  <si>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</si>
  <si>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</si>
  <si>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</si>
  <si>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</si>
  <si>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</si>
  <si>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</si>
  <si>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</si>
  <si>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</si>
  <si>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</si>
  <si>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</si>
  <si>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</si>
  <si>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</si>
  <si>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</si>
  <si>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</si>
  <si>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</si>
  <si>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</si>
  <si>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</si>
  <si>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</si>
  <si>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</si>
  <si>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</si>
  <si>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</si>
  <si>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</si>
  <si>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</si>
  <si>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</si>
  <si>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</si>
  <si>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</si>
  <si>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</si>
  <si>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</si>
  <si>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</si>
  <si>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</si>
  <si>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</si>
  <si>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</si>
  <si>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</si>
  <si>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</si>
  <si>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</si>
  <si>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</si>
  <si>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</si>
  <si>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</si>
  <si>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</si>
  <si>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</si>
  <si>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</si>
  <si>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</si>
  <si>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</si>
  <si>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</si>
  <si>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</si>
  <si>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</si>
  <si>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</si>
  <si>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</si>
  <si>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</si>
  <si>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</si>
  <si>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</si>
  <si>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</si>
  <si>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</si>
  <si>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</si>
  <si>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</si>
  <si>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</si>
  <si>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</si>
  <si>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</si>
  <si>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</si>
  <si>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</si>
  <si>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</si>
  <si>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</si>
  <si>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</si>
  <si>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</si>
  <si>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</si>
  <si>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</si>
  <si>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</si>
  <si>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</si>
  <si>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</si>
  <si>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</si>
  <si>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</si>
  <si>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</si>
  <si>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</si>
  <si>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</si>
  <si>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</si>
  <si>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</si>
  <si>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</si>
  <si>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</si>
  <si>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</si>
  <si>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</si>
  <si>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</si>
  <si>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</si>
  <si>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</si>
  <si>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</si>
  <si>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</si>
  <si>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</si>
  <si>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</si>
  <si>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</si>
  <si>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</si>
  <si>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</si>
  <si>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</si>
  <si>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</si>
  <si>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</si>
  <si>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</si>
  <si>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</si>
  <si>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</si>
  <si>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</si>
  <si>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</si>
  <si>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</si>
  <si>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</si>
  <si>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</si>
  <si>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</si>
  <si>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</si>
  <si>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</si>
  <si>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</si>
  <si>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</si>
  <si>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</si>
  <si>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</si>
  <si>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</si>
  <si>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</si>
  <si>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</si>
  <si>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</si>
  <si>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</si>
  <si>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</si>
  <si>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</si>
  <si>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</si>
  <si>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</si>
  <si>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</si>
  <si>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</si>
  <si>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</si>
  <si>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</si>
  <si>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</si>
  <si>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</si>
  <si>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</si>
  <si>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</si>
  <si>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</si>
  <si>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</si>
  <si>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</si>
  <si>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</si>
  <si>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</si>
  <si>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</si>
  <si>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</si>
  <si>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</si>
  <si>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</si>
  <si>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</si>
  <si>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</si>
  <si>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</si>
  <si>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</si>
  <si>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</si>
  <si>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</si>
  <si>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</si>
  <si>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</si>
  <si>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</si>
  <si>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</si>
  <si>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</si>
  <si>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</si>
  <si>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</si>
  <si>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</si>
  <si>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</si>
  <si>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</si>
  <si>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</si>
  <si>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</si>
  <si>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</si>
  <si>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</si>
  <si>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</si>
  <si>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</si>
  <si>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</si>
  <si>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</si>
  <si>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</si>
  <si>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</si>
  <si>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</si>
  <si>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</si>
  <si>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</si>
  <si>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</si>
  <si>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</si>
  <si>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</si>
  <si>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</si>
  <si>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</si>
  <si>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</si>
  <si>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</si>
  <si>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</si>
  <si>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</si>
  <si>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</si>
  <si>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</si>
  <si>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</si>
  <si>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</si>
  <si>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</si>
  <si>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</si>
  <si>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</si>
  <si>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</si>
  <si>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</si>
  <si>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</si>
  <si>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</si>
  <si>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</si>
  <si>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</si>
  <si>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</si>
  <si>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</si>
  <si>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</si>
  <si>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</si>
  <si>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</si>
  <si>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</si>
  <si>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</si>
  <si>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</si>
  <si>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</si>
  <si>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</si>
  <si>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</si>
  <si>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</si>
  <si>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</si>
  <si>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</si>
  <si>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</si>
  <si>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</si>
  <si>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</si>
  <si>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</si>
  <si>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</si>
  <si>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</si>
  <si>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</si>
  <si>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</si>
  <si>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</si>
  <si>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</si>
  <si>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</si>
  <si>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</si>
  <si>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</si>
  <si>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</si>
  <si>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</si>
  <si>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</si>
  <si>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</si>
  <si>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</si>
  <si>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</si>
  <si>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</si>
  <si>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</si>
  <si>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</si>
  <si>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</si>
  <si>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</si>
  <si>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</si>
  <si>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</si>
  <si>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</si>
  <si>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</si>
  <si>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</si>
  <si>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</si>
  <si>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</si>
  <si>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</si>
  <si>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</si>
  <si>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</si>
  <si>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</si>
  <si>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</si>
  <si>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</si>
  <si>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</si>
  <si>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</si>
  <si>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</si>
  <si>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</si>
  <si>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</si>
  <si>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</si>
  <si>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</si>
  <si>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</si>
  <si>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</si>
  <si>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</si>
  <si>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</si>
  <si>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</si>
  <si>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</si>
  <si>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</si>
  <si>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</si>
  <si>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</si>
  <si>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</si>
  <si>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</si>
  <si>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</si>
  <si>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</si>
  <si>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</si>
  <si>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</si>
  <si>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</si>
  <si>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</si>
  <si>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</si>
  <si>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</si>
  <si>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</si>
  <si>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</si>
  <si>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</si>
  <si>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</si>
  <si>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</si>
  <si>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</si>
  <si>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</si>
  <si>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</si>
  <si>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</si>
  <si>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</si>
  <si>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</si>
  <si>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</si>
  <si>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</si>
  <si>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</si>
  <si>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</si>
  <si>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</si>
  <si>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</si>
  <si>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</si>
  <si>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</si>
  <si>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</si>
  <si>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</si>
  <si>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</si>
  <si>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</si>
  <si>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</si>
  <si>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</si>
  <si>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</si>
  <si>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</si>
  <si>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</si>
  <si>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</si>
  <si>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</si>
  <si>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</si>
  <si>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</si>
  <si>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</si>
  <si>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</si>
  <si>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</si>
  <si>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</si>
  <si>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</si>
  <si>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</si>
  <si>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</si>
  <si>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</si>
  <si>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</si>
  <si>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</si>
  <si>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</si>
  <si>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</si>
  <si>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</si>
  <si>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</si>
  <si>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</si>
  <si>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</si>
  <si>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</si>
  <si>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</si>
  <si>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</si>
  <si>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</si>
  <si>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</si>
  <si>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</si>
  <si>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</si>
  <si>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</si>
  <si>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</si>
  <si>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</si>
  <si>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</si>
  <si>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</si>
  <si>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</si>
  <si>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</si>
  <si>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</si>
  <si>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</si>
  <si>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</si>
  <si>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</si>
  <si>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</si>
  <si>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</si>
  <si>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</si>
  <si>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</si>
  <si>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</si>
  <si>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</si>
  <si>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</si>
  <si>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</si>
  <si>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</si>
  <si>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</si>
  <si>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</si>
  <si>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</si>
  <si>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</si>
  <si>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</si>
  <si>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</si>
  <si>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</si>
  <si>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</si>
  <si>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</si>
  <si>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</si>
  <si>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</si>
  <si>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</si>
  <si>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</si>
  <si>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</si>
  <si>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</si>
  <si>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</si>
  <si>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</si>
  <si>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</si>
  <si>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</si>
  <si>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</si>
  <si>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</si>
  <si>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</si>
  <si>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</si>
  <si>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</si>
  <si>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</si>
  <si>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</si>
  <si>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</si>
  <si>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</si>
  <si>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</si>
  <si>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</si>
  <si>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</si>
  <si>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</si>
  <si>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</si>
  <si>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</si>
  <si>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</si>
  <si>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</si>
  <si>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</si>
  <si>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</si>
  <si>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</si>
  <si>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</si>
  <si>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</si>
  <si>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</si>
  <si>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</si>
  <si>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</si>
  <si>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</si>
  <si>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</si>
  <si>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</si>
  <si>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</si>
  <si>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</si>
  <si>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</si>
  <si>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</si>
  <si>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</si>
  <si>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</si>
  <si>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</si>
  <si>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</si>
  <si>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</si>
  <si>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</si>
  <si>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</si>
  <si>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</si>
  <si>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</si>
  <si>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</si>
  <si>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</si>
  <si>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</si>
  <si>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</si>
  <si>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</si>
  <si>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</si>
  <si>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</si>
  <si>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</si>
  <si>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</si>
  <si>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</si>
  <si>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</si>
  <si>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</si>
  <si>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</si>
  <si>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</si>
  <si>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</si>
  <si>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</si>
  <si>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</si>
  <si>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</si>
  <si>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</si>
  <si>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</si>
  <si>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</si>
  <si>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</si>
  <si>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</si>
  <si>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</si>
  <si>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</si>
  <si>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</si>
  <si>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</si>
  <si>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</si>
  <si>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</si>
  <si>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</si>
  <si>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</si>
  <si>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</si>
  <si>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</si>
  <si>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</si>
  <si>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</si>
  <si>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</si>
  <si>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</si>
  <si>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</si>
  <si>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</si>
  <si>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</si>
  <si>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</si>
  <si>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</si>
  <si>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</si>
  <si>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</si>
  <si>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</si>
  <si>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</si>
  <si>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</si>
  <si>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</si>
  <si>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</si>
  <si>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</si>
  <si>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</si>
  <si>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</si>
  <si>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</si>
  <si>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</si>
  <si>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</si>
  <si>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</si>
  <si>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</si>
  <si>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</si>
  <si>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</si>
  <si>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</si>
  <si>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</si>
  <si>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</si>
  <si>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</si>
  <si>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</si>
  <si>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</si>
  <si>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</si>
  <si>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</si>
  <si>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</si>
  <si>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</si>
  <si>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</si>
  <si>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</si>
  <si>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</si>
  <si>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</si>
  <si>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</si>
  <si>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</si>
  <si>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</si>
  <si>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</si>
  <si>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</si>
  <si>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</si>
  <si>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</si>
  <si>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</si>
  <si>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</si>
  <si>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</si>
  <si>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</si>
  <si>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</si>
  <si>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</si>
  <si>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</si>
  <si>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</si>
  <si>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</si>
  <si>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</si>
  <si>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</si>
  <si>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</si>
  <si>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</si>
  <si>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</si>
  <si>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</si>
  <si>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</si>
  <si>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</si>
  <si>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</si>
  <si>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</si>
  <si>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</si>
  <si>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</si>
  <si>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</si>
  <si>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</si>
  <si>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</si>
  <si>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</si>
  <si>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</si>
  <si>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</si>
  <si>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</si>
  <si>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</si>
  <si>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</si>
  <si>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</si>
  <si>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</si>
  <si>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</si>
  <si>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</si>
  <si>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</si>
  <si>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</si>
  <si>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</si>
  <si>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</si>
  <si>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</si>
  <si>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</si>
  <si>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</si>
  <si>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</si>
  <si>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</si>
  <si>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</si>
  <si>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</si>
  <si>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</si>
  <si>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</si>
  <si>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</si>
  <si>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</si>
  <si>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</si>
  <si>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</si>
  <si>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</si>
  <si>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</si>
  <si>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</si>
  <si>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</si>
  <si>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</si>
  <si>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</si>
  <si>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</si>
  <si>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</si>
  <si>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</si>
  <si>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</si>
  <si>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</si>
  <si>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</si>
  <si>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</si>
  <si>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</si>
  <si>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</si>
  <si>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</si>
  <si>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</si>
  <si>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</si>
  <si>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</si>
  <si>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</si>
  <si>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</si>
  <si>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</si>
  <si>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</si>
  <si>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</si>
  <si>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</si>
  <si>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</si>
  <si>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</si>
  <si>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</si>
  <si>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</si>
  <si>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</si>
  <si>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</si>
  <si>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</si>
  <si>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</si>
  <si>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</si>
  <si>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</si>
  <si>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</si>
  <si>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</si>
  <si>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</si>
  <si>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</si>
  <si>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</si>
  <si>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</si>
  <si>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</si>
  <si>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</si>
  <si>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</si>
  <si>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</si>
  <si>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</si>
  <si>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</si>
  <si>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</si>
  <si>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</si>
  <si>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</si>
  <si>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</si>
  <si>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</si>
  <si>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</si>
  <si>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</si>
  <si>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</si>
  <si>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</si>
  <si>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</si>
  <si>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</si>
  <si>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</si>
  <si>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</si>
  <si>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</si>
  <si>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</si>
  <si>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</si>
  <si>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</si>
  <si>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</si>
  <si>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</si>
  <si>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</si>
  <si>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</si>
  <si>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</si>
  <si>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</si>
  <si>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</si>
  <si>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</si>
  <si>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</si>
  <si>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</si>
  <si>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</si>
  <si>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</si>
  <si>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</si>
  <si>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</si>
  <si>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</si>
  <si>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</si>
  <si>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</si>
  <si>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</si>
  <si>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</si>
  <si>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</si>
  <si>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</si>
  <si>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</si>
  <si>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</si>
  <si>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</si>
  <si>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</si>
  <si>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</si>
  <si>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</si>
  <si>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</si>
  <si>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</si>
  <si>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</si>
  <si>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</si>
  <si>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</si>
  <si>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</si>
  <si>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</si>
  <si>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</si>
  <si>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</si>
  <si>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</si>
  <si>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</si>
  <si>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</si>
  <si>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</si>
  <si>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</si>
  <si>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</si>
  <si>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</si>
  <si>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</si>
  <si>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</si>
  <si>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</si>
  <si>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</si>
  <si>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</si>
  <si>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</si>
  <si>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</si>
  <si>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</si>
  <si>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</si>
  <si>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</si>
  <si>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</si>
  <si>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</si>
  <si>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</si>
  <si>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</si>
  <si>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</si>
  <si>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</si>
  <si>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</si>
  <si>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</si>
  <si>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</si>
  <si>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</si>
  <si>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</si>
  <si>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</si>
  <si>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</si>
  <si>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</si>
  <si>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</si>
  <si>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</si>
  <si>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</si>
  <si>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</si>
  <si>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</si>
  <si>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</si>
  <si>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</si>
  <si>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</si>
  <si>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</si>
  <si>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</si>
  <si>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</si>
  <si>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</si>
  <si>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</si>
  <si>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</si>
  <si>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</si>
  <si>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</si>
  <si>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</si>
  <si>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</si>
  <si>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</si>
  <si>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</si>
  <si>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</si>
  <si>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</si>
  <si>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</si>
  <si>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</si>
  <si>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</si>
  <si>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</si>
  <si>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</si>
  <si>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</si>
  <si>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</si>
  <si>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</si>
  <si>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</si>
  <si>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</si>
  <si>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</si>
  <si>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</si>
  <si>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</si>
  <si>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</si>
  <si>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</si>
  <si>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</si>
  <si>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</si>
  <si>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</si>
  <si>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</si>
  <si>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</si>
  <si>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</si>
  <si>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</si>
  <si>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</si>
  <si>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</si>
  <si>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</si>
  <si>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</si>
  <si>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</si>
  <si>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</si>
  <si>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</si>
  <si>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</si>
  <si>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</si>
  <si>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</si>
  <si>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</si>
  <si>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</si>
  <si>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</si>
  <si>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</si>
  <si>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</si>
  <si>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</si>
  <si>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</si>
  <si>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</si>
  <si>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</si>
  <si>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</si>
  <si>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</si>
  <si>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</si>
  <si>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</si>
  <si>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</si>
  <si>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</si>
  <si>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</si>
  <si>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</si>
  <si>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</si>
  <si>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</si>
  <si>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</si>
  <si>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</si>
  <si>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</si>
  <si>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</si>
  <si>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</si>
  <si>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</si>
  <si>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</si>
  <si>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</si>
  <si>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</si>
  <si>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</si>
  <si>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</si>
  <si>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</si>
  <si>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</si>
  <si>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</si>
  <si>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</si>
  <si>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</si>
  <si>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</si>
  <si>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</si>
  <si>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</si>
  <si>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</si>
  <si>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</si>
  <si>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</si>
  <si>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</si>
  <si>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</si>
  <si>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</si>
  <si>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</si>
  <si>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</si>
  <si>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</si>
  <si>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</si>
  <si>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</si>
  <si>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</si>
  <si>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</si>
  <si>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</si>
  <si>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</si>
  <si>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</si>
  <si>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</si>
  <si>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</si>
  <si>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</si>
  <si>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</si>
  <si>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</si>
  <si>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</si>
  <si>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</si>
  <si>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</si>
  <si>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</si>
  <si>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</si>
  <si>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</si>
  <si>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</si>
  <si>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</si>
  <si>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</si>
  <si>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</si>
  <si>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</si>
  <si>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</si>
  <si>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</si>
  <si>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</si>
  <si>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</si>
  <si>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</si>
  <si>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</si>
  <si>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</si>
  <si>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</si>
  <si>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</si>
  <si>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</si>
  <si>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</si>
  <si>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</si>
  <si>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</si>
  <si>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</si>
  <si>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</si>
  <si>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</si>
  <si>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</si>
  <si>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</si>
  <si>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</si>
  <si>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</si>
  <si>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</si>
  <si>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</si>
  <si>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</si>
  <si>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</si>
  <si>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</si>
  <si>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</si>
  <si>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</si>
  <si>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</si>
  <si>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</si>
  <si>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</si>
  <si>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</si>
  <si>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</si>
  <si>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</si>
  <si>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</si>
  <si>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</si>
  <si>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</si>
  <si>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</si>
  <si>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</si>
  <si>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</si>
  <si>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</si>
  <si>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</si>
  <si>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</si>
  <si>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</si>
  <si>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</si>
  <si>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</si>
  <si>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</si>
  <si>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</si>
  <si>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</si>
  <si>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</si>
  <si>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</si>
  <si>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</si>
  <si>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</si>
  <si>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</si>
  <si>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</si>
  <si>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</si>
  <si>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</si>
  <si>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</si>
  <si>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</si>
  <si>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</si>
  <si>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</si>
  <si>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</si>
  <si>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</si>
  <si>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</si>
  <si>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</si>
  <si>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</si>
  <si>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</si>
  <si>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</si>
  <si>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</si>
  <si>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</si>
  <si>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</si>
  <si>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</si>
  <si>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</si>
  <si>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</si>
  <si>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</si>
  <si>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</si>
  <si>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</si>
  <si>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</si>
  <si>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</si>
  <si>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</si>
  <si>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</si>
  <si>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</si>
  <si>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</si>
  <si>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</si>
  <si>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</si>
  <si>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</si>
  <si>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</si>
  <si>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</si>
  <si>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</si>
  <si>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</si>
  <si>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</si>
  <si>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</si>
  <si>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</si>
  <si>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</si>
  <si>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</si>
  <si>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</si>
  <si>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</si>
  <si>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</si>
  <si>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</si>
  <si>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</si>
  <si>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</si>
  <si>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</si>
  <si>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</si>
  <si>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</si>
  <si>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</si>
  <si>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</si>
  <si>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</si>
  <si>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</si>
  <si>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</si>
  <si>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</si>
  <si>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</si>
  <si>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</si>
  <si>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</si>
  <si>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</si>
  <si>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</si>
  <si>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</si>
  <si>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</si>
  <si>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</si>
  <si>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</si>
  <si>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</si>
  <si>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</si>
  <si>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</si>
  <si>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</si>
  <si>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</si>
  <si>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</si>
  <si>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</si>
  <si>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</si>
  <si>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</si>
  <si>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</si>
  <si>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</si>
  <si>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</si>
  <si>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</si>
  <si>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</si>
  <si>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</si>
  <si>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</si>
  <si>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</si>
  <si>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</si>
  <si>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</si>
  <si>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</si>
  <si>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</si>
  <si>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</si>
  <si>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</si>
  <si>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</si>
  <si>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</si>
  <si>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</si>
  <si>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</si>
  <si>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</si>
  <si>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</si>
  <si>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</si>
  <si>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</si>
  <si>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</si>
  <si>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</si>
  <si>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</si>
  <si>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</si>
  <si>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</si>
  <si>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</si>
  <si>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</si>
  <si>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</si>
  <si>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</si>
  <si>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</si>
  <si>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</si>
  <si>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</si>
  <si>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</si>
  <si>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</si>
  <si>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</si>
  <si>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</si>
  <si>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</si>
  <si>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</si>
  <si>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</si>
  <si>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</si>
  <si>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</si>
  <si>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</si>
  <si>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</si>
  <si>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</si>
  <si>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</si>
  <si>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</si>
  <si>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</si>
  <si>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</si>
  <si>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</si>
  <si>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</si>
  <si>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</si>
  <si>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</si>
  <si>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</si>
  <si>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</si>
  <si>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</si>
  <si>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</si>
  <si>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</si>
  <si>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</si>
  <si>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</si>
  <si>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</si>
  <si>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</si>
  <si>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</si>
  <si>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</si>
  <si>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</si>
  <si>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</si>
  <si>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</si>
  <si>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</si>
  <si>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</si>
  <si>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</si>
  <si>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</si>
  <si>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</si>
  <si>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</si>
  <si>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</si>
  <si>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</si>
  <si>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</si>
  <si>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</si>
  <si>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</si>
  <si>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</si>
  <si>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</si>
  <si>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</si>
  <si>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</si>
  <si>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</si>
  <si>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</si>
  <si>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</si>
  <si>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</si>
  <si>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</si>
  <si>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</si>
  <si>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</si>
  <si>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</si>
  <si>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</si>
  <si>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</si>
  <si>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</si>
  <si>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</si>
  <si>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</si>
  <si>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</si>
  <si>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</si>
  <si>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</si>
  <si>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</si>
  <si>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</si>
  <si>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</si>
  <si>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</si>
  <si>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</si>
  <si>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</si>
  <si>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</si>
  <si>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</si>
  <si>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</si>
  <si>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</si>
  <si>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</si>
  <si>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</si>
  <si>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</si>
  <si>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</si>
  <si>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</si>
  <si>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</si>
  <si>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</si>
  <si>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</si>
  <si>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</si>
  <si>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</si>
  <si>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</si>
  <si>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</si>
  <si>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</si>
  <si>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</si>
  <si>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</si>
  <si>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</si>
  <si>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</si>
  <si>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</si>
  <si>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</si>
  <si>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</si>
  <si>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</si>
  <si>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</si>
  <si>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</si>
  <si>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</si>
  <si>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</si>
  <si>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</si>
  <si>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</si>
  <si>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</si>
  <si>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</si>
  <si>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</si>
  <si>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</si>
  <si>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</si>
  <si>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</si>
  <si>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</si>
  <si>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</si>
  <si>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</si>
  <si>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</si>
  <si>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</si>
  <si>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</si>
  <si>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</si>
  <si>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</si>
  <si>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</si>
  <si>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</si>
  <si>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</si>
  <si>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</si>
  <si>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</si>
  <si>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</si>
  <si>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</si>
  <si>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</si>
  <si>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</si>
  <si>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</si>
  <si>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</si>
  <si>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</si>
  <si>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</si>
  <si>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</si>
  <si>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</si>
  <si>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</si>
  <si>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</si>
  <si>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</si>
  <si>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</si>
  <si>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</si>
  <si>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</si>
  <si>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</si>
  <si>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</si>
  <si>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</si>
  <si>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</si>
  <si>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</si>
  <si>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</si>
  <si>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</si>
  <si>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</si>
  <si>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</si>
  <si>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</si>
  <si>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</si>
  <si>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</si>
  <si>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</si>
  <si>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</si>
  <si>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</si>
  <si>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</si>
  <si>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</si>
  <si>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</si>
  <si>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</si>
  <si>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</si>
  <si>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</si>
  <si>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</si>
  <si>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</si>
  <si>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</si>
  <si>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</si>
  <si>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</si>
  <si>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</si>
  <si>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</si>
  <si>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</si>
  <si>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</si>
  <si>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</si>
  <si>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</si>
  <si>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</si>
  <si>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</si>
  <si>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</si>
  <si>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</si>
  <si>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</si>
  <si>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</si>
  <si>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</si>
  <si>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</si>
  <si>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</si>
  <si>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</si>
  <si>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</si>
  <si>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</si>
  <si>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</si>
  <si>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</si>
  <si>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</si>
  <si>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</si>
  <si>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</si>
  <si>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</si>
  <si>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</si>
  <si>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</si>
  <si>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</si>
  <si>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</si>
  <si>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</si>
  <si>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</si>
  <si>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</si>
  <si>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</si>
  <si>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</si>
  <si>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</si>
  <si>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</si>
  <si>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</si>
  <si>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</si>
  <si>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</si>
  <si>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</si>
  <si>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</si>
  <si>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</si>
  <si>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</si>
  <si>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</si>
  <si>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</si>
  <si>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</si>
  <si>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</si>
  <si>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</si>
  <si>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</si>
  <si>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</si>
  <si>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</si>
  <si>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</si>
  <si>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</si>
  <si>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</si>
  <si>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</si>
  <si>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</si>
  <si>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</si>
  <si>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</si>
  <si>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</si>
  <si>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</si>
  <si>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</si>
  <si>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</si>
  <si>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</si>
  <si>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</si>
  <si>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</si>
  <si>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</si>
  <si>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</si>
  <si>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</si>
  <si>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</si>
  <si>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</si>
  <si>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</si>
  <si>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</si>
  <si>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</si>
  <si>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</si>
  <si>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</si>
  <si>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</si>
  <si>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</si>
  <si>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</si>
  <si>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</si>
  <si>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</si>
  <si>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</si>
  <si>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</si>
  <si>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</si>
  <si>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</si>
  <si>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</si>
  <si>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</si>
  <si>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</si>
  <si>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</si>
  <si>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</si>
  <si>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</si>
  <si>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</si>
  <si>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</si>
  <si>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</si>
  <si>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</si>
  <si>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</si>
  <si>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</si>
  <si>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</si>
  <si>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</si>
  <si>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</si>
  <si>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</si>
  <si>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</si>
  <si>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</si>
  <si>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</si>
  <si>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</si>
  <si>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</si>
  <si>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</si>
  <si>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</si>
  <si>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</si>
  <si>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</si>
  <si>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</si>
  <si>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</si>
  <si>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</si>
  <si>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</si>
  <si>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</si>
  <si>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</si>
  <si>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</si>
  <si>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</si>
  <si>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</si>
  <si>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</si>
  <si>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</si>
  <si>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</si>
  <si>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</si>
  <si>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</si>
  <si>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</si>
  <si>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</si>
  <si>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</si>
  <si>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</si>
  <si>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</si>
  <si>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</si>
  <si>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</si>
  <si>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</si>
  <si>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</si>
  <si>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</si>
  <si>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</si>
  <si>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</si>
  <si>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</si>
  <si>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</si>
  <si>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</si>
  <si>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</si>
  <si>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</si>
  <si>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</si>
  <si>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</si>
  <si>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</si>
  <si>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</si>
  <si>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</si>
  <si>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</si>
  <si>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</si>
  <si>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</si>
  <si>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</si>
  <si>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</si>
  <si>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</si>
  <si>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</si>
  <si>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</si>
  <si>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</si>
  <si>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</si>
  <si>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</si>
  <si>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</si>
  <si>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</si>
  <si>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</si>
  <si>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</si>
  <si>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</si>
  <si>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</si>
  <si>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</si>
  <si>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</si>
  <si>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</si>
  <si>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</si>
  <si>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</si>
  <si>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</si>
  <si>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</si>
  <si>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</si>
  <si>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</si>
  <si>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</si>
  <si>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</si>
  <si>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</si>
  <si>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</si>
  <si>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</si>
  <si>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</si>
  <si>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</si>
  <si>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</si>
  <si>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</si>
  <si>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</si>
  <si>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</si>
  <si>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</si>
  <si>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</si>
  <si>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</si>
  <si>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</si>
  <si>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</si>
  <si>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</si>
  <si>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</si>
  <si>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</si>
  <si>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</si>
  <si>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</si>
  <si>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</si>
  <si>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</si>
  <si>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</si>
  <si>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</si>
  <si>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</si>
  <si>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</si>
  <si>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</si>
  <si>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</si>
  <si>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</si>
  <si>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</si>
  <si>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</si>
  <si>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</si>
  <si>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</si>
  <si>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</si>
  <si>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</si>
  <si>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</si>
  <si>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</si>
  <si>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</si>
  <si>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</si>
  <si>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</si>
  <si>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</si>
  <si>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</si>
  <si>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</si>
  <si>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</si>
  <si>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</si>
  <si>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</si>
  <si>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</si>
  <si>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</si>
  <si>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</si>
  <si>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</si>
  <si>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</si>
  <si>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</si>
  <si>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</si>
  <si>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</si>
  <si>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</si>
  <si>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</si>
  <si>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</si>
  <si>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</si>
  <si>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</si>
  <si>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</si>
  <si>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</si>
  <si>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</si>
  <si>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</si>
  <si>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</si>
  <si>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</si>
  <si>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</si>
  <si>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</si>
  <si>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</si>
  <si>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</si>
  <si>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</si>
  <si>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</si>
  <si>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</si>
  <si>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</si>
  <si>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</si>
  <si>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</si>
  <si>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</si>
  <si>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</si>
  <si>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</si>
  <si>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</si>
  <si>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</si>
  <si>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</si>
  <si>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</si>
  <si>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</si>
  <si>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</si>
  <si>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</si>
  <si>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</si>
  <si>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</si>
  <si>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</si>
  <si>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</si>
  <si>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</si>
  <si>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</si>
  <si>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</si>
  <si>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</si>
  <si>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</si>
  <si>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</si>
  <si>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</si>
  <si>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</si>
  <si>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</si>
  <si>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</si>
  <si>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</si>
  <si>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</si>
  <si>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</si>
  <si>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</si>
  <si>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</si>
  <si>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</si>
  <si>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</si>
  <si>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</si>
  <si>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</si>
  <si>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</si>
  <si>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</si>
  <si>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</si>
  <si>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</si>
  <si>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</si>
  <si>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</si>
  <si>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</si>
  <si>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</si>
  <si>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</si>
  <si>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</si>
  <si>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</si>
  <si>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</si>
  <si>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</si>
  <si>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</si>
  <si>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</si>
  <si>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</si>
  <si>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</si>
  <si>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</si>
  <si>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</si>
  <si>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</si>
  <si>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</si>
  <si>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</si>
  <si>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</si>
  <si>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</si>
  <si>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</si>
  <si>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</si>
  <si>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</si>
  <si>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</si>
  <si>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</si>
  <si>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</si>
  <si>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</si>
  <si>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</si>
  <si>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</si>
  <si>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</si>
  <si>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</si>
  <si>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</si>
  <si>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</si>
  <si>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</si>
  <si>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</si>
  <si>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</si>
  <si>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</si>
  <si>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</si>
  <si>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</si>
  <si>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</si>
  <si>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</si>
  <si>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</si>
  <si>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</si>
  <si>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</si>
  <si>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</si>
  <si>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</si>
  <si>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</si>
  <si>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</si>
  <si>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</si>
  <si>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</si>
  <si>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</si>
  <si>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</si>
  <si>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</si>
  <si>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</si>
  <si>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</si>
  <si>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</si>
  <si>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</si>
  <si>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</si>
  <si>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</si>
  <si>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</si>
  <si>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</si>
  <si>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</si>
  <si>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</si>
  <si>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</si>
  <si>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</si>
  <si>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</si>
  <si>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</si>
  <si>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</si>
  <si>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</si>
  <si>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</si>
  <si>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</si>
  <si>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</si>
  <si>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</si>
  <si>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</si>
  <si>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</si>
  <si>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</si>
  <si>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</si>
  <si>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</si>
  <si>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</si>
  <si>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</si>
  <si>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</si>
  <si>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</si>
  <si>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</si>
  <si>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</si>
  <si>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</si>
  <si>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</si>
  <si>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</si>
  <si>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</si>
  <si>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</si>
  <si>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</si>
  <si>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</si>
  <si>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</si>
  <si>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</si>
  <si>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</si>
  <si>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</si>
  <si>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</si>
  <si>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</si>
  <si>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</si>
  <si>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</si>
  <si>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</si>
  <si>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</si>
  <si>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</si>
  <si>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</si>
  <si>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</si>
  <si>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</si>
  <si>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</si>
  <si>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</si>
  <si>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</si>
  <si>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</si>
  <si>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</si>
  <si>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</si>
  <si>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</si>
  <si>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</si>
  <si>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</si>
  <si>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</si>
  <si>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</si>
  <si>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</si>
  <si>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</si>
  <si>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</si>
  <si>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</si>
  <si>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</si>
  <si>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</si>
  <si>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</si>
  <si>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</si>
  <si>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</si>
  <si>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</si>
  <si>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</si>
  <si>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</si>
  <si>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</si>
  <si>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</si>
  <si>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</si>
  <si>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</si>
  <si>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</si>
  <si>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</si>
  <si>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</si>
  <si>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</si>
  <si>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</si>
  <si>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</si>
  <si>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</si>
  <si>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</si>
  <si>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</si>
  <si>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</si>
  <si>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</si>
  <si>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</si>
  <si>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</si>
  <si>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</si>
  <si>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</si>
  <si>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</si>
  <si>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</si>
  <si>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</si>
  <si>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</si>
  <si>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</si>
  <si>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</si>
  <si>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</si>
  <si>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</si>
  <si>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</si>
  <si>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</si>
  <si>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</si>
  <si>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</si>
  <si>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</si>
  <si>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</si>
  <si>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</si>
  <si>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</si>
  <si>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</si>
  <si>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</si>
  <si>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</si>
  <si>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</si>
  <si>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</si>
  <si>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</si>
  <si>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</si>
  <si>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</si>
  <si>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</si>
  <si>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</si>
  <si>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</si>
  <si>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</si>
  <si>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</si>
  <si>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</si>
  <si>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</si>
  <si>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</si>
  <si>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</si>
  <si>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</si>
  <si>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</si>
  <si>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</si>
  <si>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</si>
  <si>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</si>
  <si>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</si>
  <si>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</si>
  <si>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</si>
  <si>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</si>
  <si>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</si>
  <si>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</si>
  <si>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</si>
  <si>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</si>
  <si>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</si>
  <si>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</si>
  <si>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</si>
  <si>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</si>
  <si>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</si>
  <si>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</si>
  <si>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</si>
  <si>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</si>
  <si>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</si>
  <si>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</si>
  <si>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</si>
  <si>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</si>
  <si>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</si>
  <si>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</si>
  <si>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</si>
  <si>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</si>
  <si>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</si>
  <si>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</si>
  <si>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</si>
  <si>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</si>
  <si>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</si>
  <si>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</si>
  <si>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</si>
  <si>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</si>
  <si>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</si>
  <si>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</si>
  <si>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</si>
  <si>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</si>
  <si>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</si>
  <si>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</si>
  <si>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</si>
  <si>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</si>
  <si>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</si>
  <si>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</si>
  <si>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</si>
  <si>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</si>
  <si>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</si>
  <si>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</si>
  <si>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</si>
  <si>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</si>
  <si>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</si>
  <si>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</si>
  <si>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</si>
  <si>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</si>
  <si>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</si>
  <si>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</si>
  <si>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</si>
  <si>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</si>
  <si>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</si>
  <si>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</si>
  <si>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</si>
  <si>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</si>
  <si>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</si>
  <si>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</si>
  <si>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</si>
  <si>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</si>
  <si>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</si>
  <si>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</si>
  <si>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</si>
  <si>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</si>
  <si>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</si>
  <si>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</si>
  <si>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</si>
  <si>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</si>
  <si>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</si>
  <si>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</si>
  <si>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</si>
  <si>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</si>
  <si>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</si>
  <si>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</si>
  <si>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</si>
  <si>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</si>
  <si>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</si>
  <si>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</si>
  <si>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</si>
  <si>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</si>
  <si>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</si>
  <si>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</si>
  <si>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</si>
  <si>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</si>
  <si>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</si>
  <si>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</si>
  <si>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</si>
  <si>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</si>
  <si>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</si>
  <si>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</si>
  <si>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</si>
  <si>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</si>
  <si>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</si>
  <si>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</si>
  <si>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</si>
  <si>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</si>
  <si>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</si>
  <si>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</si>
  <si>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</si>
  <si>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</si>
  <si>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</si>
  <si>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</si>
  <si>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</si>
  <si>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</si>
  <si>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</si>
  <si>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</si>
  <si>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</si>
  <si>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</si>
  <si>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</si>
  <si>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</si>
  <si>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</si>
  <si>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</si>
  <si>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</si>
  <si>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</si>
  <si>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</si>
  <si>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</si>
  <si>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</si>
  <si>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</si>
  <si>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</si>
  <si>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</si>
  <si>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</si>
  <si>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</si>
  <si>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</si>
  <si>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</si>
  <si>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</si>
  <si>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</si>
  <si>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</si>
  <si>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</si>
  <si>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</si>
  <si>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</si>
  <si>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</si>
  <si>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</si>
  <si>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</si>
  <si>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</si>
  <si>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</si>
  <si>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</si>
  <si>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</si>
  <si>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</si>
  <si>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</si>
  <si>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</si>
  <si>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</si>
  <si>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</si>
  <si>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</si>
  <si>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</si>
  <si>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</si>
  <si>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</si>
  <si>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</si>
  <si>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</si>
  <si>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</si>
  <si>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</si>
  <si>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</si>
  <si>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</si>
  <si>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</si>
  <si>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</si>
  <si>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</si>
  <si>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</si>
  <si>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</si>
  <si>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</si>
  <si>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</si>
  <si>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</si>
  <si>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</si>
  <si>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</si>
  <si>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</si>
  <si>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</si>
  <si>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</si>
  <si>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</si>
  <si>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</si>
  <si>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</si>
  <si>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</si>
  <si>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</si>
  <si>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</si>
  <si>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</si>
  <si>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</si>
  <si>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</si>
  <si>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</si>
  <si>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</si>
  <si>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</si>
  <si>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</si>
  <si>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</si>
  <si>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</si>
  <si>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</si>
  <si>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</si>
  <si>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</si>
  <si>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</si>
  <si>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</si>
  <si>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</si>
  <si>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</si>
  <si>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</si>
  <si>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</si>
  <si>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</si>
  <si>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</si>
  <si>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</si>
  <si>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</si>
  <si>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</si>
  <si>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</si>
  <si>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</si>
  <si>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</si>
  <si>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</si>
  <si>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</si>
  <si>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</si>
  <si>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</si>
  <si>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</si>
  <si>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</si>
  <si>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</si>
  <si>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</si>
  <si>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</si>
  <si>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</si>
  <si>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</si>
  <si>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</si>
  <si>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</si>
  <si>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</si>
  <si>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</si>
  <si>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</si>
  <si>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</si>
  <si>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</si>
  <si>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</si>
  <si>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</si>
  <si>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</si>
  <si>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</si>
  <si>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</si>
  <si>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</si>
  <si>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</si>
  <si>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</si>
  <si>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</si>
  <si>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</si>
  <si>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</si>
  <si>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</si>
  <si>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</si>
  <si>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</si>
  <si>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</si>
  <si>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</si>
  <si>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</si>
  <si>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</si>
  <si>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</si>
  <si>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</si>
  <si>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</si>
  <si>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</si>
  <si>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</si>
  <si>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</si>
  <si>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</si>
  <si>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</si>
  <si>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</si>
  <si>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</si>
  <si>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</si>
  <si>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</si>
  <si>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</si>
  <si>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</si>
  <si>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</si>
  <si>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</si>
  <si>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</si>
  <si>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</si>
  <si>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</si>
  <si>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</si>
  <si>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</si>
  <si>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</si>
  <si>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</si>
  <si>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</si>
  <si>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</si>
  <si>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</si>
  <si>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</si>
  <si>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</si>
  <si>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</si>
  <si>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</si>
  <si>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</si>
  <si>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</si>
  <si>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</si>
  <si>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</si>
  <si>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</si>
  <si>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</si>
  <si>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</si>
  <si>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</si>
  <si>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</si>
  <si>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</si>
  <si>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</si>
  <si>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</si>
  <si>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</si>
  <si>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</si>
  <si>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</si>
  <si>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</si>
  <si>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</si>
  <si>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</si>
  <si>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</si>
  <si>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</si>
  <si>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</si>
  <si>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</si>
  <si>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</si>
  <si>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</si>
  <si>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</si>
  <si>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</si>
  <si>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</si>
  <si>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</si>
  <si>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</si>
  <si>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</si>
  <si>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</si>
  <si>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</si>
  <si>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</si>
  <si>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</si>
  <si>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</si>
  <si>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</si>
  <si>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</si>
  <si>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</si>
  <si>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</si>
  <si>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</si>
  <si>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</si>
  <si>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</si>
  <si>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</si>
  <si>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</si>
  <si>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</si>
  <si>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</si>
  <si>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</si>
  <si>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</si>
  <si>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</si>
  <si>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</si>
  <si>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</si>
  <si>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</si>
  <si>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</si>
  <si>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</si>
  <si>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</si>
  <si>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</si>
  <si>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</si>
  <si>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</si>
  <si>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</si>
  <si>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</si>
  <si>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</si>
  <si>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</si>
  <si>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</si>
  <si>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</si>
  <si>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</si>
  <si>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</si>
  <si>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</si>
  <si>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</si>
  <si>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</si>
  <si>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</si>
  <si>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</si>
  <si>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</si>
  <si>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</si>
  <si>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</si>
  <si>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</si>
  <si>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</si>
  <si>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</si>
  <si>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</si>
  <si>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</si>
  <si>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</si>
  <si>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</si>
  <si>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</si>
  <si>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</si>
  <si>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</si>
  <si>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</si>
  <si>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</si>
  <si>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</si>
  <si>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</si>
  <si>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</si>
  <si>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</si>
  <si>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</si>
  <si>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</si>
  <si>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</si>
  <si>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</si>
  <si>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</si>
  <si>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</si>
  <si>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</si>
  <si>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</si>
  <si>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</si>
  <si>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</si>
  <si>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</si>
  <si>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</si>
  <si>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</si>
  <si>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</si>
  <si>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</si>
  <si>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</si>
  <si>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</si>
  <si>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</si>
  <si>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</si>
  <si>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</si>
  <si>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</si>
  <si>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</si>
  <si>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</si>
  <si>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</si>
  <si>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</si>
  <si>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</si>
  <si>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</si>
  <si>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</si>
  <si>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</si>
  <si>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</si>
  <si>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</si>
  <si>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</si>
  <si>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</si>
  <si>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</si>
  <si>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</si>
  <si>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</si>
  <si>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</si>
  <si>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</si>
  <si>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</si>
  <si>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</si>
  <si>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</si>
  <si>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</si>
  <si>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</si>
  <si>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</si>
  <si>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</si>
  <si>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</si>
  <si>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</si>
  <si>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</si>
  <si>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</si>
  <si>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</si>
  <si>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</si>
  <si>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</si>
  <si>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</si>
  <si>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</si>
  <si>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</si>
  <si>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</si>
  <si>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</si>
  <si>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</si>
  <si>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</si>
  <si>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</si>
  <si>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</si>
  <si>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</si>
  <si>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</si>
  <si>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</si>
  <si>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</si>
  <si>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</si>
  <si>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</si>
  <si>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</si>
  <si>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</si>
  <si>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</si>
  <si>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</si>
  <si>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</si>
  <si>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</si>
  <si>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</si>
  <si>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</si>
  <si>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</si>
  <si>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</si>
  <si>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</si>
  <si>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</si>
  <si>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</si>
  <si>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</si>
  <si>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</si>
  <si>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</si>
  <si>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</si>
  <si>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</si>
  <si>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</si>
  <si>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</si>
  <si>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</si>
  <si>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</si>
  <si>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</si>
  <si>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</si>
  <si>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</si>
  <si>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</si>
  <si>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</si>
  <si>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</si>
  <si>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</si>
  <si>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</si>
  <si>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</si>
  <si>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</si>
  <si>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</si>
  <si>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</si>
  <si>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</si>
  <si>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</si>
  <si>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</si>
  <si>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</si>
  <si>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</si>
  <si>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</si>
  <si>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</si>
  <si>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</si>
  <si>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</si>
  <si>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</si>
  <si>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</si>
  <si>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</si>
  <si>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</si>
  <si>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</si>
  <si>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</si>
  <si>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</si>
  <si>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</si>
  <si>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</si>
  <si>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</si>
  <si>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</si>
  <si>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</si>
  <si>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</si>
  <si>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</si>
  <si>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</si>
  <si>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</si>
  <si>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</si>
  <si>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</si>
  <si>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</si>
  <si>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</si>
  <si>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</si>
  <si>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</si>
  <si>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</si>
  <si>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</si>
  <si>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</si>
  <si>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</si>
  <si>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</si>
  <si>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</si>
  <si>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</si>
  <si>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</si>
  <si>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</si>
  <si>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</si>
  <si>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</si>
  <si>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</si>
  <si>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</si>
  <si>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</si>
  <si>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</si>
  <si>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</si>
  <si>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</si>
  <si>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</si>
  <si>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</si>
  <si>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</si>
  <si>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</si>
  <si>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</si>
  <si>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</si>
  <si>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</si>
  <si>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</si>
  <si>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</si>
  <si>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</si>
  <si>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</si>
  <si>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</si>
  <si>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</si>
  <si>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</si>
  <si>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</si>
  <si>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</si>
  <si>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</si>
  <si>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</si>
  <si>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</si>
  <si>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</si>
  <si>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</si>
  <si>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</si>
  <si>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</si>
  <si>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</si>
  <si>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</si>
  <si>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</si>
  <si>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</si>
  <si>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</si>
  <si>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</si>
  <si>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</si>
  <si>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</si>
  <si>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</si>
  <si>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</si>
  <si>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</si>
  <si>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</si>
  <si>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</si>
  <si>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</si>
  <si>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</si>
  <si>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</si>
  <si>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</si>
  <si>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</si>
  <si>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</si>
  <si>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</si>
  <si>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</si>
  <si>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</si>
  <si>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</si>
  <si>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</si>
  <si>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</si>
  <si>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</si>
  <si>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</si>
  <si>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</si>
  <si>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</si>
  <si>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</si>
  <si>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</si>
  <si>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</si>
  <si>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</si>
  <si>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</si>
  <si>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</si>
  <si>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</si>
  <si>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</si>
  <si>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</si>
  <si>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</si>
  <si>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</si>
  <si>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</si>
  <si>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</si>
  <si>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</si>
  <si>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</si>
  <si>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</si>
  <si>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</si>
  <si>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</si>
  <si>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</si>
  <si>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</si>
  <si>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</si>
  <si>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</si>
  <si>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</si>
  <si>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</si>
  <si>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</si>
  <si>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</si>
  <si>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</si>
  <si>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</si>
  <si>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</si>
  <si>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</si>
  <si>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</si>
  <si>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</si>
  <si>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</si>
  <si>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</si>
  <si>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</si>
  <si>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</si>
  <si>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</si>
  <si>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</si>
  <si>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</si>
  <si>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</si>
  <si>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</si>
  <si>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</si>
  <si>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</si>
  <si>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</si>
  <si>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</si>
  <si>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</si>
  <si>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</si>
  <si>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</si>
  <si>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</si>
  <si>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</si>
  <si>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</si>
  <si>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</si>
  <si>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</si>
  <si>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</si>
  <si>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</si>
  <si>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</si>
  <si>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</si>
  <si>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</si>
  <si>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</si>
  <si>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</si>
  <si>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</si>
  <si>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</si>
  <si>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</si>
  <si>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</si>
  <si>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</si>
  <si>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</si>
  <si>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</si>
  <si>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</si>
  <si>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</si>
  <si>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</si>
  <si>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</si>
  <si>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</si>
  <si>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</si>
  <si>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</si>
  <si>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</si>
  <si>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</si>
  <si>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</si>
  <si>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</si>
  <si>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</si>
  <si>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</si>
  <si>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</si>
  <si>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</si>
  <si>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</si>
  <si>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</si>
  <si>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</si>
  <si>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</si>
  <si>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</si>
  <si>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</si>
  <si>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</si>
  <si>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</si>
  <si>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</si>
  <si>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</si>
  <si>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</si>
  <si>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</si>
  <si>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</si>
  <si>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</si>
  <si>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</si>
  <si>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</si>
  <si>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</si>
  <si>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</si>
  <si>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</si>
  <si>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</si>
  <si>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</si>
  <si>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</si>
  <si>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</si>
  <si>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</si>
  <si>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</si>
  <si>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</si>
  <si>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</si>
  <si>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</si>
  <si>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</si>
  <si>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</si>
  <si>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</si>
  <si>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</si>
  <si>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</si>
  <si>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</si>
  <si>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</si>
  <si>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</si>
  <si>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</si>
  <si>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</si>
  <si>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</si>
  <si>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</si>
  <si>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</si>
  <si>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</si>
  <si>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</si>
  <si>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</si>
  <si>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</si>
  <si>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</si>
  <si>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</si>
  <si>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</si>
  <si>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</si>
  <si>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</si>
  <si>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</si>
  <si>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</si>
  <si>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</si>
  <si>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</si>
  <si>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</si>
  <si>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</si>
  <si>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</si>
  <si>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</si>
  <si>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</si>
  <si>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</si>
  <si>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</si>
  <si>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</si>
  <si>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</si>
  <si>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</si>
  <si>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</si>
  <si>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</si>
  <si>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</si>
  <si>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</si>
  <si>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</si>
  <si>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</si>
  <si>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</si>
  <si>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</si>
  <si>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</si>
  <si>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</si>
  <si>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</si>
  <si>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</si>
  <si>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</si>
  <si>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</si>
  <si>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</si>
  <si>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</si>
  <si>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</si>
  <si>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</si>
  <si>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</si>
  <si>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</si>
  <si>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</si>
  <si>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</si>
  <si>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</si>
  <si>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</si>
  <si>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</si>
  <si>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</si>
  <si>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</si>
  <si>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</si>
  <si>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</si>
  <si>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</si>
  <si>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</si>
  <si>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</si>
  <si>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</si>
  <si>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</si>
  <si>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</si>
  <si>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</si>
  <si>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</si>
  <si>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</si>
  <si>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</si>
  <si>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</si>
  <si>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</si>
  <si>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</si>
  <si>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</si>
  <si>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</si>
  <si>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</si>
  <si>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</si>
  <si>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</si>
  <si>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</si>
  <si>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</si>
  <si>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</si>
  <si>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</si>
  <si>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</si>
  <si>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</si>
  <si>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</si>
  <si>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</si>
  <si>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</si>
  <si>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</si>
  <si>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</si>
  <si>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</si>
  <si>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</si>
  <si>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</si>
  <si>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</si>
  <si>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</si>
  <si>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</si>
  <si>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</si>
  <si>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</si>
  <si>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</si>
  <si>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</si>
  <si>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</si>
  <si>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</si>
  <si>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</si>
  <si>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</si>
  <si>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</si>
  <si>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</si>
  <si>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</si>
  <si>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</si>
  <si>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</si>
  <si>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</si>
  <si>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</si>
  <si>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</si>
  <si>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</si>
  <si>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</si>
  <si>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</si>
  <si>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</si>
  <si>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</si>
  <si>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</si>
  <si>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</si>
  <si>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</si>
  <si>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</si>
  <si>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</si>
  <si>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</si>
  <si>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</si>
  <si>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</si>
  <si>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</si>
  <si>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</si>
  <si>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</si>
  <si>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</si>
  <si>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</si>
  <si>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</si>
  <si>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</si>
  <si>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</si>
  <si>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</si>
  <si>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</si>
  <si>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</si>
  <si>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</si>
  <si>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</si>
  <si>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</si>
  <si>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</si>
  <si>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</si>
  <si>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</si>
  <si>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</si>
  <si>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</si>
  <si>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</si>
  <si>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</si>
  <si>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</si>
  <si>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</si>
  <si>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</si>
  <si>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</si>
  <si>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</si>
  <si>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</si>
  <si>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</si>
  <si>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</si>
  <si>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</si>
  <si>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</si>
  <si>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</si>
  <si>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</si>
  <si>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</si>
  <si>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</si>
  <si>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</si>
  <si>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</si>
  <si>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</si>
  <si>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</si>
  <si>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</si>
  <si>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</si>
  <si>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</si>
  <si>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</si>
  <si>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</si>
  <si>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</si>
  <si>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</si>
  <si>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</si>
  <si>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</si>
  <si>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</si>
  <si>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</si>
  <si>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</si>
  <si>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</si>
  <si>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</si>
  <si>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</si>
  <si>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</si>
  <si>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</si>
  <si>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</si>
  <si>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</si>
  <si>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</si>
  <si>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</si>
  <si>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</si>
  <si>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</si>
  <si>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</si>
  <si>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</si>
  <si>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</si>
  <si>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</si>
  <si>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</si>
  <si>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</si>
  <si>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</si>
  <si>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</si>
  <si>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</si>
  <si>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</si>
  <si>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</si>
  <si>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</si>
  <si>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</si>
  <si>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</si>
  <si>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</si>
  <si>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</si>
  <si>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</si>
  <si>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</si>
  <si>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</si>
  <si>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</si>
  <si>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</si>
  <si>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</si>
  <si>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</si>
  <si>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</si>
  <si>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</si>
  <si>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</si>
  <si>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</si>
  <si>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</si>
  <si>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</si>
  <si>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</si>
  <si>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</si>
  <si>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</si>
  <si>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</si>
  <si>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</si>
  <si>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</si>
  <si>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</si>
  <si>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</si>
  <si>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</si>
  <si>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</si>
  <si>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</si>
  <si>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</si>
  <si>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</si>
  <si>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</si>
  <si>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</si>
  <si>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</si>
  <si>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</si>
  <si>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</si>
  <si>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</si>
  <si>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</si>
  <si>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</si>
  <si>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</si>
  <si>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</si>
  <si>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</si>
  <si>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</si>
  <si>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</si>
  <si>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</si>
  <si>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</si>
  <si>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</si>
  <si>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</si>
  <si>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</si>
  <si>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</si>
  <si>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</si>
  <si>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</si>
  <si>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</si>
  <si>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</si>
  <si>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</si>
  <si>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</si>
  <si>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</si>
  <si>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</si>
  <si>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</si>
  <si>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</si>
  <si>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</si>
  <si>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</si>
  <si>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</si>
  <si>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</si>
  <si>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</si>
  <si>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</si>
  <si>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</si>
  <si>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</si>
  <si>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</si>
  <si>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</si>
  <si>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</si>
  <si>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</si>
  <si>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</si>
  <si>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</si>
  <si>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</si>
  <si>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</si>
  <si>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</si>
  <si>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</si>
  <si>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</si>
  <si>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</si>
  <si>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</si>
  <si>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</si>
  <si>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</si>
  <si>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</si>
  <si>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</si>
  <si>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</si>
  <si>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</si>
  <si>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</si>
  <si>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</si>
  <si>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</si>
  <si>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</si>
  <si>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</si>
  <si>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</si>
  <si>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</si>
  <si>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</si>
  <si>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</si>
  <si>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</si>
  <si>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</si>
  <si>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</si>
  <si>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</si>
  <si>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</si>
  <si>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</si>
  <si>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</si>
  <si>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</si>
  <si>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</si>
  <si>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</si>
  <si>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</si>
  <si>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</si>
  <si>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</si>
  <si>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</si>
  <si>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</si>
  <si>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</si>
  <si>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</si>
  <si>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</si>
  <si>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</si>
  <si>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</si>
  <si>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</si>
  <si>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</si>
  <si>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</si>
  <si>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</si>
  <si>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</si>
  <si>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</si>
  <si>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</si>
  <si>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</si>
  <si>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</si>
  <si>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</si>
  <si>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</si>
  <si>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</si>
  <si>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</si>
  <si>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</si>
  <si>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</si>
  <si>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</si>
  <si>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</si>
  <si>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</si>
  <si>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</si>
  <si>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</si>
  <si>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</si>
  <si>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</si>
  <si>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</si>
  <si>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</si>
  <si>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</si>
  <si>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</si>
  <si>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</si>
  <si>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</si>
  <si>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</si>
  <si>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</si>
  <si>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</si>
  <si>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</si>
  <si>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</si>
  <si>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</si>
  <si>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</si>
  <si>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</si>
  <si>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</si>
  <si>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</si>
  <si>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</si>
  <si>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</si>
  <si>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</si>
  <si>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</si>
  <si>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</si>
  <si>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</si>
  <si>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</si>
  <si>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</si>
  <si>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</si>
  <si>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</si>
  <si>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</si>
  <si>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</si>
  <si>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</si>
  <si>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</si>
  <si>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</si>
  <si>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</si>
  <si>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</si>
  <si>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</si>
  <si>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</si>
  <si>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</si>
  <si>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</si>
  <si>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</si>
  <si>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</si>
  <si>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</si>
  <si>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</si>
  <si>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</si>
  <si>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</si>
  <si>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</si>
  <si>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</si>
  <si>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</si>
  <si>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</si>
  <si>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</si>
  <si>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</si>
  <si>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</si>
  <si>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</si>
  <si>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</si>
  <si>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</si>
  <si>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</si>
  <si>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</si>
  <si>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</si>
  <si>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</si>
  <si>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</si>
  <si>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</si>
  <si>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</si>
  <si>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</si>
  <si>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</si>
  <si>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</si>
  <si>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</si>
  <si>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</si>
  <si>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</si>
  <si>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</si>
  <si>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</si>
  <si>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</si>
  <si>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</si>
  <si>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</si>
  <si>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</si>
  <si>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</si>
  <si>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</si>
  <si>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</si>
  <si>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</si>
  <si>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</si>
  <si>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</si>
  <si>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</si>
  <si>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</si>
  <si>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</si>
  <si>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</si>
  <si>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</si>
  <si>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</si>
  <si>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</si>
  <si>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</si>
  <si>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</si>
  <si>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</si>
  <si>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</si>
  <si>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</si>
  <si>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</si>
  <si>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</si>
  <si>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</si>
  <si>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</si>
  <si>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</si>
  <si>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</si>
  <si>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</si>
  <si>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</si>
  <si>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</si>
  <si>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</si>
  <si>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</si>
  <si>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</si>
  <si>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</si>
  <si>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</si>
  <si>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</si>
  <si>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</si>
  <si>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</si>
  <si>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</si>
  <si>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</si>
  <si>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</si>
  <si>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</si>
  <si>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</si>
  <si>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</si>
  <si>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</si>
  <si>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</si>
  <si>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</si>
  <si>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</si>
  <si>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</si>
  <si>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</si>
  <si>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</si>
  <si>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</si>
  <si>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</si>
  <si>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</si>
  <si>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</si>
  <si>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</si>
  <si>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</si>
  <si>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</si>
  <si>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</si>
  <si>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</si>
  <si>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</si>
  <si>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</si>
  <si>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</si>
  <si>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</si>
  <si>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</si>
  <si>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</si>
  <si>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</si>
  <si>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</si>
  <si>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</si>
  <si>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</si>
  <si>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</si>
  <si>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</si>
  <si>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</si>
  <si>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</si>
  <si>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</si>
  <si>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</si>
  <si>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</si>
  <si>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</si>
  <si>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</si>
  <si>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</si>
  <si>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</si>
  <si>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</si>
  <si>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</si>
  <si>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</si>
  <si>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</si>
  <si>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</si>
  <si>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</si>
  <si>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</si>
  <si>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</si>
  <si>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</si>
  <si>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</si>
  <si>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</si>
  <si>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</si>
  <si>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</si>
  <si>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</si>
  <si>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</si>
  <si>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</si>
  <si>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</si>
  <si>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</si>
  <si>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</si>
  <si>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</si>
  <si>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</si>
  <si>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</si>
  <si>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</si>
  <si>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</si>
  <si>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</si>
  <si>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</si>
  <si>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</si>
  <si>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</si>
  <si>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</si>
  <si>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</si>
  <si>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</si>
  <si>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</si>
  <si>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</si>
  <si>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</si>
  <si>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</si>
  <si>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</si>
  <si>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</si>
  <si>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</si>
  <si>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</si>
  <si>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</si>
  <si>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</si>
  <si>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</si>
  <si>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</si>
  <si>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</si>
  <si>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</si>
  <si>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</si>
  <si>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</si>
  <si>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</si>
  <si>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</si>
  <si>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</si>
  <si>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</si>
  <si>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</si>
  <si>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</si>
  <si>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</si>
  <si>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</si>
  <si>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</si>
  <si>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</si>
  <si>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</si>
  <si>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</si>
  <si>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</si>
  <si>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</si>
  <si>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</si>
  <si>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</si>
  <si>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</si>
  <si>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</si>
  <si>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</si>
  <si>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</si>
  <si>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</si>
  <si>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</si>
  <si>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</si>
  <si>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</si>
  <si>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</si>
  <si>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</si>
  <si>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</si>
  <si>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</si>
  <si>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</si>
  <si>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</si>
  <si>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</si>
  <si>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</si>
  <si>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</si>
  <si>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</si>
  <si>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</si>
  <si>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</si>
  <si>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</si>
  <si>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</si>
  <si>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</si>
  <si>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</si>
  <si>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</si>
  <si>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</si>
  <si>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</si>
  <si>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</si>
  <si>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</si>
  <si>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</si>
  <si>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</si>
  <si>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</si>
  <si>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</si>
  <si>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</si>
  <si>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</si>
  <si>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</si>
  <si>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</si>
  <si>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</si>
  <si>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</si>
  <si>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</si>
  <si>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</si>
  <si>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</si>
  <si>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</si>
  <si>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</si>
  <si>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</si>
  <si>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</si>
  <si>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</si>
  <si>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</si>
  <si>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</si>
  <si>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</si>
  <si>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</si>
  <si>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</si>
  <si>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</si>
  <si>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</si>
  <si>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</si>
  <si>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</si>
  <si>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</si>
  <si>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</si>
  <si>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</si>
  <si>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</si>
  <si>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</si>
  <si>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</si>
  <si>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</si>
  <si>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</si>
  <si>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</si>
  <si>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</si>
  <si>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</si>
  <si>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</si>
  <si>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</si>
  <si>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</si>
  <si>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</si>
  <si>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</si>
  <si>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</si>
  <si>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</si>
  <si>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</si>
  <si>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</si>
  <si>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</si>
  <si>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</si>
  <si>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</si>
  <si>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</si>
  <si>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</si>
  <si>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</si>
  <si>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</si>
  <si>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</si>
  <si>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</si>
  <si>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</si>
  <si>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</si>
  <si>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</si>
  <si>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</si>
  <si>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</si>
  <si>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</si>
  <si>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</si>
  <si>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</si>
  <si>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</si>
  <si>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</si>
  <si>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</si>
  <si>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</si>
  <si>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</si>
  <si>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</si>
  <si>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</si>
  <si>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</si>
  <si>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</si>
  <si>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</si>
  <si>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</si>
  <si>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</si>
  <si>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</si>
  <si>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</si>
  <si>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</si>
  <si>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</si>
  <si>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</si>
  <si>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</si>
  <si>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</si>
  <si>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</si>
  <si>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</si>
  <si>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</si>
  <si>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</si>
  <si>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</si>
  <si>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</si>
  <si>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</si>
  <si>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</si>
  <si>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</si>
  <si>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</si>
  <si>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</si>
  <si>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</si>
  <si>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</si>
  <si>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</si>
  <si>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</si>
  <si>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</si>
  <si>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</si>
  <si>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</si>
  <si>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</si>
  <si>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</si>
  <si>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</si>
  <si>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</si>
  <si>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</si>
  <si>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</si>
  <si>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</si>
  <si>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</si>
  <si>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</si>
  <si>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</si>
  <si>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</si>
  <si>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</si>
  <si>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</si>
  <si>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</si>
  <si>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</si>
  <si>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</si>
  <si>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</si>
  <si>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</si>
  <si>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</si>
  <si>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</si>
  <si>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</si>
  <si>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</si>
  <si>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</si>
  <si>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</si>
  <si>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</si>
  <si>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</si>
  <si>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</si>
  <si>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</si>
  <si>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</si>
  <si>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</si>
  <si>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</si>
  <si>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</si>
  <si>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</si>
  <si>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</si>
  <si>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</si>
  <si>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</si>
  <si>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</si>
  <si>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</si>
  <si>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</si>
  <si>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</si>
  <si>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</si>
  <si>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</si>
  <si>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</si>
  <si>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</si>
  <si>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</si>
  <si>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</si>
  <si>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</si>
  <si>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</si>
  <si>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</si>
  <si>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</si>
  <si>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</si>
  <si>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</si>
  <si>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</si>
  <si>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</si>
  <si>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</si>
  <si>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</si>
  <si>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</si>
  <si>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</si>
  <si>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</si>
  <si>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</si>
  <si>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</si>
  <si>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</si>
  <si>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</si>
  <si>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</si>
  <si>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</si>
  <si>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</si>
  <si>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</si>
  <si>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</si>
  <si>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</si>
  <si>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</si>
  <si>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</si>
  <si>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</si>
  <si>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</si>
  <si>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</si>
  <si>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</si>
  <si>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</si>
  <si>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</si>
  <si>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</si>
  <si>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</si>
  <si>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</si>
  <si>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</si>
  <si>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</si>
  <si>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</si>
  <si>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</si>
  <si>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</si>
  <si>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</si>
  <si>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</si>
  <si>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</si>
  <si>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</si>
  <si>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</si>
  <si>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</si>
  <si>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</si>
  <si>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</si>
  <si>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</si>
  <si>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</si>
  <si>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</si>
  <si>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</si>
  <si>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</si>
  <si>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</si>
  <si>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</si>
  <si>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</si>
  <si>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</si>
  <si>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</si>
  <si>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</si>
  <si>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</si>
  <si>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</si>
  <si>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</si>
  <si>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</si>
  <si>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</si>
  <si>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</si>
  <si>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</si>
  <si>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</si>
  <si>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</si>
  <si>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</si>
  <si>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</si>
  <si>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</si>
  <si>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</si>
  <si>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</si>
  <si>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</si>
  <si>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</si>
  <si>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</si>
  <si>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</si>
  <si>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</si>
  <si>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</si>
  <si>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</si>
  <si>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</si>
  <si>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</si>
  <si>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</si>
  <si>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</si>
  <si>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</si>
  <si>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</si>
  <si>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</si>
  <si>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</si>
  <si>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</si>
  <si>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</si>
  <si>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</si>
  <si>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</si>
  <si>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</si>
  <si>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</si>
  <si>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</si>
  <si>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</si>
  <si>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</si>
  <si>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</si>
  <si>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</si>
  <si>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</si>
  <si>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</si>
  <si>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</si>
  <si>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</si>
  <si>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</si>
  <si>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</si>
  <si>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</si>
  <si>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</si>
  <si>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</si>
  <si>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</si>
  <si>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</si>
  <si>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</si>
  <si>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</si>
  <si>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</si>
  <si>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</si>
  <si>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</si>
  <si>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</si>
  <si>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</si>
  <si>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</si>
  <si>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</si>
  <si>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</si>
  <si>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</si>
  <si>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</si>
  <si>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</si>
  <si>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</si>
  <si>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</si>
  <si>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</si>
  <si>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</si>
  <si>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</si>
  <si>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</si>
  <si>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</si>
  <si>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</si>
  <si>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</si>
  <si>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</si>
  <si>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</si>
  <si>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</si>
  <si>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</si>
  <si>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</si>
  <si>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</si>
  <si>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</si>
  <si>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</si>
  <si>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</si>
  <si>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</si>
  <si>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</si>
  <si>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</si>
  <si>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</si>
  <si>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</si>
  <si>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</si>
  <si>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</si>
  <si>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</si>
  <si>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</si>
  <si>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</si>
  <si>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</si>
  <si>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</si>
  <si>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</si>
  <si>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</si>
  <si>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</si>
  <si>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</si>
  <si>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</si>
  <si>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</si>
  <si>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</si>
  <si>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</si>
  <si>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</si>
  <si>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</si>
  <si>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</si>
  <si>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</si>
  <si>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</si>
  <si>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</si>
  <si>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</si>
  <si>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</si>
  <si>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</si>
  <si>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</si>
  <si>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</si>
  <si>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</si>
  <si>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</si>
  <si>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</si>
  <si>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</si>
  <si>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</si>
  <si>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</si>
  <si>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</si>
  <si>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</si>
  <si>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</si>
  <si>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</si>
  <si>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</si>
  <si>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</si>
  <si>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</si>
  <si>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</si>
  <si>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</si>
  <si>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</si>
  <si>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</si>
  <si>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</si>
  <si>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</si>
  <si>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</si>
  <si>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</si>
  <si>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</si>
  <si>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</si>
  <si>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</si>
  <si>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</si>
  <si>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</si>
  <si>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</si>
  <si>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</si>
  <si>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</si>
  <si>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</si>
  <si>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</si>
  <si>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</si>
  <si>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</si>
  <si>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</si>
  <si>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</si>
  <si>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</si>
  <si>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</si>
  <si>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</si>
  <si>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</si>
  <si>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</si>
  <si>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</si>
  <si>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</si>
  <si>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</si>
  <si>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</si>
  <si>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</si>
  <si>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</si>
  <si>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</si>
  <si>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</si>
  <si>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</si>
  <si>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</si>
  <si>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</si>
  <si>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</si>
  <si>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</si>
  <si>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</si>
  <si>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</si>
  <si>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</si>
  <si>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</si>
  <si>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</si>
  <si>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</si>
  <si>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</si>
  <si>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</si>
  <si>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</si>
  <si>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</si>
  <si>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</si>
  <si>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</si>
  <si>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</si>
  <si>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</si>
  <si>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</si>
  <si>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</si>
  <si>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</si>
  <si>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</si>
  <si>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</si>
  <si>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</si>
  <si>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</si>
  <si>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</si>
  <si>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</si>
  <si>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</si>
  <si>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</si>
  <si>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</si>
  <si>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</si>
  <si>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</si>
  <si>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</si>
  <si>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</si>
  <si>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</si>
  <si>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</si>
  <si>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</si>
  <si>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</si>
  <si>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</si>
  <si>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</si>
  <si>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</si>
  <si>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</si>
  <si>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</si>
  <si>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</si>
  <si>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</si>
  <si>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</si>
  <si>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</si>
  <si>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</si>
  <si>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</si>
  <si>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</si>
  <si>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</si>
  <si>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</si>
  <si>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</si>
  <si>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</si>
  <si>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</si>
  <si>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</si>
  <si>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</si>
  <si>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</si>
  <si>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</si>
  <si>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</si>
  <si>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</si>
  <si>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</si>
  <si>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</si>
  <si>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</si>
  <si>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</si>
  <si>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</si>
  <si>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</si>
  <si>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</si>
  <si>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</si>
  <si>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</si>
  <si>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</si>
  <si>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</si>
  <si>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</si>
  <si>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</si>
  <si>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</si>
  <si>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</si>
  <si>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</si>
  <si>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</si>
  <si>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</si>
  <si>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</si>
  <si>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</si>
  <si>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</si>
  <si>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</si>
  <si>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</si>
  <si>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</si>
  <si>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</si>
  <si>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</si>
  <si>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</si>
  <si>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</si>
  <si>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</si>
  <si>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</si>
  <si>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</si>
  <si>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</si>
  <si>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</si>
  <si>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</si>
  <si>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</si>
  <si>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</si>
  <si>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</si>
  <si>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</si>
  <si>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</si>
  <si>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</si>
  <si>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</si>
  <si>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</si>
  <si>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</si>
  <si>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</si>
  <si>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</si>
  <si>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</si>
  <si>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</si>
  <si>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</si>
  <si>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</si>
  <si>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</si>
  <si>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</si>
  <si>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</si>
  <si>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</si>
  <si>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</si>
  <si>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</si>
  <si>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</si>
  <si>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</si>
  <si>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</si>
  <si>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</si>
  <si>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</si>
  <si>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</si>
  <si>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</si>
  <si>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</si>
  <si>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</si>
  <si>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</si>
  <si>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</si>
  <si>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</si>
  <si>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</si>
  <si>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</si>
  <si>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</si>
  <si>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</si>
  <si>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</si>
  <si>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</si>
  <si>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</si>
  <si>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</si>
  <si>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</si>
  <si>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</si>
  <si>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</si>
  <si>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</si>
  <si>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</si>
  <si>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</si>
  <si>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</si>
  <si>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</si>
  <si>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</si>
  <si>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</si>
  <si>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</si>
  <si>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</si>
  <si>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</si>
  <si>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</si>
  <si>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</si>
  <si>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</si>
  <si>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</si>
  <si>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</si>
  <si>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</si>
  <si>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</si>
  <si>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</si>
  <si>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</si>
  <si>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</si>
  <si>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</si>
  <si>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</si>
  <si>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</si>
  <si>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</si>
  <si>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</si>
  <si>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</si>
  <si>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</si>
  <si>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</si>
  <si>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</si>
  <si>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</si>
  <si>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</si>
  <si>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</si>
  <si>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</si>
  <si>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</si>
  <si>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</si>
  <si>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</si>
  <si>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</si>
  <si>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</si>
  <si>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</si>
  <si>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</si>
  <si>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</si>
  <si>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</si>
  <si>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</si>
  <si>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</si>
  <si>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</si>
  <si>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</si>
  <si>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</si>
  <si>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</si>
  <si>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</si>
  <si>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</si>
  <si>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</si>
  <si>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</si>
  <si>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</si>
  <si>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</si>
  <si>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</si>
  <si>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</si>
  <si>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</si>
  <si>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</si>
  <si>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</si>
  <si>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</si>
  <si>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</si>
  <si>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</si>
  <si>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</si>
  <si>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</si>
  <si>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</si>
  <si>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</si>
  <si>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</si>
  <si>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</si>
  <si>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</si>
  <si>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</si>
  <si>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</si>
  <si>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</si>
  <si>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</si>
  <si>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</si>
  <si>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</si>
  <si>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</si>
  <si>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</si>
  <si>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</si>
  <si>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</si>
  <si>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</si>
  <si>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</si>
  <si>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</si>
  <si>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</si>
  <si>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</si>
  <si>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</si>
  <si>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</si>
  <si>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</si>
  <si>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</si>
  <si>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</si>
  <si>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</si>
  <si>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</si>
  <si>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</si>
  <si>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</si>
  <si>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</si>
  <si>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</si>
  <si>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</si>
  <si>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</si>
  <si>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</si>
  <si>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</si>
  <si>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</si>
  <si>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</si>
  <si>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</si>
  <si>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</si>
  <si>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</si>
  <si>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</si>
  <si>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</si>
  <si>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</si>
  <si>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</si>
  <si>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</si>
  <si>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</si>
  <si>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</si>
  <si>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</si>
  <si>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</si>
  <si>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</si>
  <si>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</si>
  <si>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</si>
  <si>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</si>
  <si>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</si>
  <si>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</si>
  <si>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</si>
  <si>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</si>
  <si>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</si>
  <si>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</si>
  <si>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</si>
  <si>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</si>
  <si>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</si>
  <si>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</si>
  <si>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</si>
  <si>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</si>
  <si>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</si>
  <si>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</si>
  <si>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</si>
  <si>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</si>
  <si>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</si>
  <si>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</si>
  <si>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</si>
  <si>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</si>
  <si>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</si>
  <si>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</si>
  <si>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</si>
  <si>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</si>
  <si>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</si>
  <si>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</si>
  <si>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</si>
  <si>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</si>
  <si>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</si>
  <si>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</si>
  <si>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</si>
  <si>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</si>
  <si>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</si>
  <si>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</si>
  <si>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</si>
  <si>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</si>
  <si>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</si>
  <si>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</si>
  <si>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</si>
  <si>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</si>
  <si>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</si>
  <si>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</si>
  <si>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</si>
  <si>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</si>
  <si>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</si>
  <si>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</si>
  <si>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</si>
  <si>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</si>
  <si>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</si>
  <si>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</si>
  <si>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</si>
  <si>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</si>
  <si>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</si>
  <si>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</si>
  <si>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</si>
  <si>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</si>
  <si>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</si>
  <si>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</si>
  <si>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</si>
  <si>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</si>
  <si>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</si>
  <si>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</si>
  <si>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</si>
  <si>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</si>
  <si>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</si>
  <si>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</si>
  <si>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</si>
  <si>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</si>
  <si>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</si>
  <si>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</si>
  <si>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</si>
  <si>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</si>
  <si>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</si>
  <si>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</si>
  <si>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</si>
  <si>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</si>
  <si>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</si>
  <si>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</si>
  <si>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</si>
  <si>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</si>
  <si>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</si>
  <si>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</si>
  <si>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</si>
  <si>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</si>
  <si>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</si>
  <si>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</si>
  <si>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</si>
  <si>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</si>
  <si>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</si>
  <si>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</si>
  <si>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</si>
  <si>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</si>
  <si>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</si>
  <si>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</si>
  <si>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</si>
  <si>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</si>
  <si>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</si>
  <si>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</si>
  <si>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</si>
  <si>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</si>
  <si>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</si>
  <si>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</si>
  <si>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</si>
  <si>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</si>
  <si>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</si>
  <si>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</si>
  <si>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</si>
  <si>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</si>
  <si>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</si>
  <si>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</si>
  <si>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</si>
  <si>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</si>
  <si>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</si>
  <si>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</si>
  <si>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</si>
  <si>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</si>
  <si>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</si>
  <si>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</si>
  <si>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</si>
  <si>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</si>
  <si>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</si>
  <si>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</si>
  <si>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</si>
  <si>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</si>
  <si>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</si>
  <si>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</si>
  <si>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</si>
  <si>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</si>
  <si>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</si>
  <si>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</si>
  <si>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</si>
  <si>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</si>
  <si>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</si>
  <si>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</si>
  <si>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</si>
  <si>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</si>
  <si>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</si>
  <si>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</si>
  <si>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</si>
  <si>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</si>
  <si>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</si>
  <si>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</si>
  <si>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</si>
  <si>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</si>
  <si>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</si>
  <si>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</si>
  <si>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</si>
  <si>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</si>
  <si>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</si>
  <si>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</si>
  <si>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</si>
  <si>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</si>
  <si>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</si>
  <si>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</si>
  <si>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</si>
  <si>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</si>
  <si>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</si>
  <si>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</si>
  <si>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</si>
  <si>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</si>
  <si>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</si>
  <si>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</si>
  <si>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</si>
  <si>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</si>
  <si>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</si>
  <si>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</si>
  <si>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</si>
  <si>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</si>
  <si>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</si>
  <si>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</si>
  <si>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</si>
  <si>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</si>
  <si>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</si>
  <si>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</si>
  <si>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</si>
  <si>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</si>
  <si>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</si>
  <si>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</si>
  <si>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</si>
  <si>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</si>
  <si>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</si>
  <si>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</si>
  <si>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</si>
  <si>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</si>
  <si>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</si>
  <si>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</si>
  <si>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</si>
  <si>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</si>
  <si>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</si>
  <si>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</si>
  <si>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</si>
  <si>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</si>
  <si>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</si>
  <si>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</si>
  <si>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</si>
  <si>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</si>
  <si>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</si>
  <si>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</si>
  <si>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</si>
  <si>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</si>
  <si>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</si>
  <si>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</si>
  <si>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</si>
  <si>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</si>
  <si>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</si>
  <si>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</si>
  <si>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</si>
  <si>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</si>
  <si>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</si>
  <si>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</si>
  <si>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</si>
  <si>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</si>
  <si>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</si>
  <si>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</si>
  <si>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</si>
  <si>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</si>
  <si>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</si>
  <si>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</si>
  <si>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</si>
  <si>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</si>
  <si>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</si>
  <si>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</si>
  <si>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</si>
  <si>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</si>
  <si>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</si>
  <si>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</si>
  <si>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</si>
  <si>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</si>
  <si>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</si>
  <si>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</si>
  <si>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</si>
  <si>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</si>
  <si>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</si>
  <si>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</si>
  <si>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</si>
  <si>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</si>
  <si>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</si>
  <si>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</si>
  <si>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</si>
  <si>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</si>
  <si>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</si>
  <si>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</si>
  <si>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</si>
  <si>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</si>
  <si>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</si>
  <si>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</si>
  <si>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</si>
  <si>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</si>
  <si>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</si>
  <si>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</si>
  <si>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</si>
  <si>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</si>
  <si>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</si>
  <si>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</si>
  <si>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</si>
  <si>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</si>
  <si>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</si>
  <si>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</si>
  <si>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</si>
  <si>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</si>
  <si>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</si>
  <si>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</si>
  <si>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</si>
  <si>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</si>
  <si>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</si>
  <si>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</si>
  <si>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</si>
  <si>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</si>
  <si>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</si>
  <si>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</si>
  <si>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</si>
  <si>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</si>
  <si>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</si>
  <si>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</si>
  <si>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</si>
  <si>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</si>
  <si>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</si>
  <si>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</si>
  <si>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</si>
  <si>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</si>
  <si>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</si>
  <si>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</si>
  <si>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</si>
  <si>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</si>
  <si>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</si>
  <si>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</si>
  <si>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</si>
  <si>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</si>
  <si>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</si>
  <si>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</si>
  <si>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</si>
  <si>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</si>
  <si>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</si>
  <si>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</si>
  <si>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</si>
  <si>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</si>
  <si>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</si>
  <si>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</si>
  <si>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</si>
  <si>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</si>
  <si>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</si>
  <si>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</si>
  <si>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</si>
  <si>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</si>
  <si>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</si>
  <si>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</si>
  <si>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</si>
  <si>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</si>
  <si>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</si>
  <si>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</si>
  <si>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</si>
  <si>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</si>
  <si>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</si>
  <si>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</si>
  <si>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</si>
  <si>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</si>
  <si>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</si>
  <si>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</si>
  <si>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</si>
  <si>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</si>
  <si>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</si>
  <si>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</si>
  <si>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</si>
  <si>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</si>
  <si>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</si>
  <si>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</si>
  <si>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</si>
  <si>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</si>
  <si>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</si>
  <si>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</si>
  <si>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</si>
  <si>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</si>
  <si>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</si>
  <si>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</si>
  <si>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</si>
  <si>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</si>
  <si>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</si>
  <si>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</si>
  <si>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</si>
  <si>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</si>
  <si>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</si>
  <si>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</si>
  <si>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</si>
  <si>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</si>
  <si>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</si>
  <si>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</si>
  <si>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</si>
  <si>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</si>
  <si>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</si>
  <si>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</si>
  <si>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</si>
  <si>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</si>
  <si>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</si>
  <si>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</si>
  <si>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</si>
  <si>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</si>
  <si>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</si>
  <si>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</si>
  <si>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</si>
  <si>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</si>
  <si>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</si>
  <si>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</si>
  <si>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</si>
  <si>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</si>
  <si>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</si>
  <si>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</si>
  <si>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</si>
  <si>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</si>
  <si>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</si>
  <si>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</si>
  <si>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</si>
  <si>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</si>
  <si>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</si>
  <si>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</si>
  <si>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</si>
  <si>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</si>
  <si>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</si>
  <si>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</si>
  <si>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</si>
  <si>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</si>
  <si>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</si>
  <si>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</si>
  <si>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</si>
  <si>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</si>
  <si>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</si>
  <si>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</si>
  <si>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</si>
  <si>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</si>
  <si>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</si>
  <si>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</si>
  <si>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</si>
  <si>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</si>
  <si>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</si>
  <si>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</si>
  <si>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</si>
  <si>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</si>
  <si>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</si>
  <si>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</si>
  <si>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</si>
  <si>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</si>
  <si>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</si>
  <si>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</si>
  <si>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</si>
  <si>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</si>
  <si>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</si>
  <si>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</si>
  <si>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</si>
  <si>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</si>
  <si>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</si>
  <si>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</si>
  <si>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</si>
  <si>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</si>
  <si>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</si>
  <si>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</si>
  <si>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</si>
  <si>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</si>
  <si>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</si>
  <si>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</si>
  <si>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</si>
  <si>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</si>
  <si>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</si>
  <si>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</si>
  <si>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</si>
  <si>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</si>
  <si>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</si>
  <si>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</si>
  <si>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</si>
  <si>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</si>
  <si>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</si>
  <si>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</si>
  <si>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</si>
  <si>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</si>
  <si>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</si>
  <si>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</si>
  <si>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</si>
  <si>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</si>
  <si>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</si>
  <si>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</si>
  <si>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</si>
  <si>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</si>
  <si>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</si>
  <si>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</si>
  <si>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</si>
  <si>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</si>
  <si>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</si>
  <si>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</si>
  <si>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</si>
  <si>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</si>
  <si>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</si>
  <si>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</si>
  <si>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</si>
  <si>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</si>
  <si>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</si>
  <si>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</si>
  <si>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</si>
  <si>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</si>
  <si>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</si>
  <si>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</si>
  <si>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</si>
  <si>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</si>
  <si>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</si>
  <si>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</si>
  <si>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</si>
  <si>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</si>
  <si>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</si>
  <si>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</si>
  <si>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</si>
  <si>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</si>
  <si>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</si>
  <si>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</si>
  <si>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</si>
  <si>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</si>
  <si>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</si>
  <si>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</si>
  <si>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</si>
  <si>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</si>
  <si>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</si>
  <si>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</si>
  <si>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</si>
  <si>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</si>
  <si>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</si>
  <si>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</si>
  <si>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</si>
  <si>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</si>
  <si>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</si>
  <si>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</si>
  <si>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</si>
  <si>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</si>
  <si>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</si>
  <si>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</si>
  <si>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</si>
  <si>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</si>
  <si>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</si>
  <si>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</si>
  <si>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</si>
  <si>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</si>
  <si>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</si>
  <si>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</si>
  <si>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</si>
  <si>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</si>
  <si>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</si>
  <si>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</si>
  <si>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</si>
  <si>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</si>
  <si>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</si>
  <si>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</si>
  <si>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</si>
  <si>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</si>
  <si>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</si>
  <si>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</si>
  <si>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</si>
  <si>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</si>
  <si>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</si>
  <si>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</si>
  <si>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</si>
  <si>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</si>
  <si>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</si>
  <si>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</si>
  <si>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</si>
  <si>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</si>
  <si>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</si>
  <si>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</si>
  <si>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</si>
  <si>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</si>
  <si>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</si>
  <si>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</si>
  <si>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</si>
  <si>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</si>
  <si>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</si>
  <si>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</si>
  <si>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</si>
  <si>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</si>
  <si>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</si>
  <si>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</si>
  <si>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</si>
  <si>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</si>
  <si>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</si>
  <si>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</si>
  <si>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</si>
  <si>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</si>
  <si>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</si>
  <si>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</si>
  <si>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</si>
  <si>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</si>
  <si>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</si>
  <si>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</si>
  <si>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</si>
  <si>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</si>
  <si>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</si>
  <si>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</si>
  <si>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</si>
  <si>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</si>
  <si>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</si>
  <si>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</si>
  <si>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</si>
  <si>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</si>
  <si>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</si>
  <si>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</si>
  <si>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</si>
  <si>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</si>
  <si>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</si>
  <si>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</si>
  <si>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</si>
  <si>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</si>
  <si>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</si>
  <si>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</si>
  <si>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</si>
  <si>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</si>
  <si>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</si>
  <si>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</si>
  <si>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</si>
  <si>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</si>
  <si>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</si>
  <si>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</si>
  <si>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</si>
  <si>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</si>
  <si>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</si>
  <si>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</si>
  <si>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</si>
  <si>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</si>
  <si>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</si>
  <si>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</si>
  <si>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</si>
  <si>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</si>
  <si>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</si>
  <si>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</si>
  <si>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</si>
  <si>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</si>
  <si>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</si>
  <si>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</si>
  <si>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</si>
  <si>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</si>
  <si>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</si>
  <si>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</si>
  <si>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</si>
  <si>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</si>
  <si>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</si>
  <si>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</si>
  <si>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</si>
  <si>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</si>
  <si>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</si>
  <si>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</si>
  <si>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</si>
  <si>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</si>
  <si>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</si>
  <si>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</si>
  <si>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</si>
  <si>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</si>
  <si>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</si>
  <si>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</si>
  <si>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</si>
  <si>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</si>
  <si>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</si>
  <si>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</si>
  <si>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</si>
  <si>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</si>
  <si>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</si>
  <si>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</si>
  <si>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</si>
  <si>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</si>
  <si>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</si>
  <si>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</si>
  <si>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</si>
  <si>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</si>
  <si>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</si>
  <si>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</si>
  <si>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</si>
  <si>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</si>
  <si>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</si>
  <si>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</si>
  <si>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</si>
  <si>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</si>
  <si>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</si>
  <si>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</si>
  <si>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</si>
  <si>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</si>
  <si>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</si>
  <si>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</si>
  <si>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</si>
  <si>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</si>
  <si>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</si>
  <si>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</si>
  <si>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</si>
  <si>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</si>
  <si>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</si>
  <si>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</si>
  <si>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</si>
  <si>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</si>
  <si>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</si>
  <si>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</si>
  <si>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</si>
  <si>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</si>
  <si>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</si>
  <si>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</si>
  <si>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</si>
  <si>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</si>
  <si>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</si>
  <si>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</si>
  <si>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</si>
  <si>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</si>
  <si>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</si>
  <si>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</si>
  <si>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</si>
  <si>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</si>
  <si>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</si>
  <si>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</si>
  <si>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</si>
  <si>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</si>
  <si>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</si>
  <si>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</si>
  <si>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</si>
  <si>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</si>
  <si>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</si>
  <si>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</si>
  <si>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</si>
  <si>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</si>
  <si>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</si>
  <si>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</si>
  <si>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</si>
  <si>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</si>
  <si>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</si>
  <si>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</si>
  <si>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</si>
  <si>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</si>
  <si>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</si>
  <si>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</si>
  <si>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</si>
  <si>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</si>
  <si>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</si>
  <si>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</si>
  <si>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</si>
  <si>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</si>
  <si>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</si>
  <si>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</si>
  <si>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</si>
  <si>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</si>
  <si>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</si>
  <si>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</si>
  <si>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</si>
  <si>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</si>
  <si>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</si>
  <si>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</si>
  <si>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</si>
  <si>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</si>
  <si>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</si>
  <si>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</si>
  <si>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</si>
  <si>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</si>
  <si>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</si>
  <si>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</si>
  <si>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</si>
  <si>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</si>
  <si>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</si>
  <si>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</si>
  <si>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</si>
  <si>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</si>
  <si>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</si>
  <si>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</si>
  <si>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</si>
  <si>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</si>
  <si>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</si>
  <si>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</si>
  <si>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</si>
  <si>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</si>
  <si>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</si>
  <si>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</si>
  <si>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</si>
  <si>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</si>
  <si>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</si>
  <si>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</si>
  <si>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</si>
  <si>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</si>
  <si>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</si>
  <si>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</si>
  <si>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</si>
  <si>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</si>
  <si>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</si>
  <si>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</si>
  <si>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</si>
  <si>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</si>
  <si>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</si>
  <si>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</si>
  <si>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</si>
  <si>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</si>
  <si>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</si>
  <si>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</si>
  <si>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</si>
  <si>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</si>
  <si>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</si>
  <si>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</si>
  <si>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</si>
  <si>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</si>
  <si>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</si>
  <si>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</si>
  <si>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</si>
  <si>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</si>
  <si>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</si>
  <si>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</si>
  <si>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</si>
  <si>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</si>
  <si>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</si>
  <si>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</si>
  <si>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</si>
  <si>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</si>
  <si>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</si>
  <si>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</si>
  <si>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</si>
  <si>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</si>
  <si>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</si>
  <si>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</si>
  <si>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</si>
  <si>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</si>
  <si>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</si>
  <si>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</si>
  <si>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</si>
  <si>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</si>
  <si>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</si>
  <si>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</si>
  <si>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</si>
  <si>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</si>
  <si>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</si>
  <si>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</si>
  <si>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</si>
  <si>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</si>
  <si>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</si>
  <si>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</si>
  <si>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</si>
  <si>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</si>
  <si>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</si>
  <si>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</si>
  <si>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</si>
  <si>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</si>
  <si>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</si>
  <si>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</si>
  <si>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</si>
  <si>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</si>
  <si>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</si>
  <si>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</si>
  <si>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</si>
  <si>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</si>
  <si>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</si>
  <si>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</si>
  <si>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</si>
  <si>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</si>
  <si>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</si>
  <si>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</si>
  <si>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</si>
  <si>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</si>
  <si>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</si>
  <si>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</si>
  <si>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</si>
  <si>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</si>
  <si>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</si>
  <si>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</si>
  <si>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</si>
  <si>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</si>
  <si>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</si>
  <si>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</si>
  <si>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</si>
  <si>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</si>
  <si>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</si>
  <si>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</si>
  <si>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</si>
  <si>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</si>
  <si>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</si>
  <si>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</si>
  <si>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</si>
  <si>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</si>
  <si>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</si>
  <si>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</si>
  <si>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</si>
  <si>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</si>
  <si>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</si>
  <si>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</si>
  <si>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</si>
  <si>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</si>
  <si>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</si>
  <si>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</si>
  <si>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</si>
  <si>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</si>
  <si>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</si>
  <si>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</si>
  <si>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</si>
  <si>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</si>
  <si>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</si>
  <si>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</si>
  <si>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</si>
  <si>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</si>
  <si>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</si>
  <si>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</si>
  <si>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</si>
  <si>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</si>
  <si>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</si>
  <si>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</si>
  <si>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</si>
  <si>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</si>
  <si>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</si>
  <si>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</si>
  <si>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</si>
  <si>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</si>
  <si>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</si>
  <si>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</si>
  <si>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</si>
  <si>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</si>
  <si>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</si>
  <si>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</si>
  <si>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</si>
  <si>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</si>
  <si>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</si>
  <si>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</si>
  <si>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</si>
  <si>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</si>
  <si>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</si>
  <si>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</si>
  <si>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</si>
  <si>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</si>
  <si>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</si>
  <si>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</si>
  <si>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</si>
  <si>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</si>
  <si>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</si>
  <si>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</si>
  <si>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</si>
  <si>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</si>
  <si>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</si>
  <si>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</si>
  <si>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</si>
  <si>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</si>
  <si>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</si>
  <si>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</si>
  <si>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</si>
  <si>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</si>
  <si>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</si>
  <si>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</si>
  <si>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</si>
  <si>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</si>
  <si>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</si>
  <si>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</si>
  <si>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</si>
  <si>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</si>
  <si>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</si>
  <si>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</si>
  <si>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</si>
  <si>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</si>
  <si>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</si>
  <si>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</si>
  <si>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</si>
  <si>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</si>
  <si>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</si>
  <si>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</si>
  <si>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</si>
  <si>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</si>
  <si>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</si>
  <si>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</si>
  <si>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</si>
  <si>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</si>
  <si>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</si>
  <si>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</si>
  <si>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</si>
  <si>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</si>
  <si>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</si>
  <si>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</si>
  <si>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</si>
  <si>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</si>
  <si>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</si>
  <si>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</si>
  <si>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</si>
  <si>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</si>
  <si>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</si>
  <si>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</si>
  <si>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</si>
  <si>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</si>
  <si>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</si>
  <si>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</si>
  <si>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</si>
  <si>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</si>
  <si>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</si>
  <si>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</si>
  <si>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</si>
  <si>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</si>
  <si>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</si>
  <si>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</si>
  <si>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</si>
  <si>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</si>
  <si>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</si>
  <si>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</si>
  <si>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</si>
  <si>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</si>
  <si>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</si>
  <si>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</si>
  <si>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</si>
  <si>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</si>
  <si>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</si>
  <si>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</si>
  <si>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</si>
  <si>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</si>
  <si>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</si>
  <si>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</si>
  <si>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</si>
  <si>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</si>
  <si>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</si>
  <si>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</si>
  <si>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</si>
  <si>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</si>
  <si>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</si>
  <si>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</si>
  <si>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</si>
  <si>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</si>
  <si>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</si>
  <si>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</si>
  <si>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</si>
  <si>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</si>
  <si>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</si>
  <si>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</si>
  <si>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</si>
  <si>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</si>
  <si>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</si>
  <si>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</si>
  <si>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</si>
  <si>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</si>
  <si>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</si>
  <si>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</si>
  <si>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</si>
  <si>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</si>
  <si>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</si>
  <si>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</si>
  <si>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</si>
  <si>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</si>
  <si>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</si>
  <si>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</si>
  <si>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</si>
  <si>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</si>
  <si>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</si>
  <si>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</si>
  <si>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</si>
  <si>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</si>
  <si>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</si>
  <si>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</si>
  <si>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</si>
  <si>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</si>
  <si>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</si>
  <si>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</si>
  <si>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</si>
  <si>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</si>
  <si>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</si>
  <si>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</si>
  <si>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</si>
  <si>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</si>
  <si>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</si>
  <si>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</si>
  <si>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</si>
  <si>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</si>
  <si>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</si>
  <si>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</si>
  <si>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</si>
  <si>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</si>
  <si>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</si>
  <si>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</si>
  <si>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</si>
  <si>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</si>
  <si>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</si>
  <si>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</si>
  <si>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</si>
  <si>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</si>
  <si>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</si>
  <si>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</si>
  <si>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</si>
  <si>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</si>
  <si>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</si>
  <si>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</si>
  <si>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</si>
  <si>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</si>
  <si>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</si>
  <si>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</si>
  <si>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</si>
  <si>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</si>
  <si>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</si>
  <si>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</si>
  <si>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</si>
  <si>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</si>
  <si>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</si>
  <si>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</si>
  <si>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</si>
  <si>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</si>
  <si>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</si>
  <si>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</si>
  <si>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</si>
  <si>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</si>
  <si>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</si>
  <si>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</si>
  <si>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</si>
  <si>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</si>
  <si>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</si>
  <si>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</si>
  <si>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</si>
  <si>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</si>
  <si>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</si>
  <si>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</si>
  <si>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</si>
  <si>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</si>
  <si>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</si>
  <si>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</si>
  <si>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</si>
  <si>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</si>
  <si>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</si>
  <si>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</si>
  <si>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</si>
  <si>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</si>
  <si>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</si>
  <si>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</si>
  <si>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</si>
  <si>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</si>
  <si>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</si>
  <si>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</si>
  <si>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</si>
  <si>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</si>
  <si>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</si>
  <si>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</si>
  <si>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</si>
  <si>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</si>
  <si>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</si>
  <si>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</si>
  <si>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</si>
  <si>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</si>
  <si>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</si>
  <si>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</si>
  <si>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</si>
  <si>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</si>
  <si>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</si>
  <si>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</si>
  <si>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</si>
  <si>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</si>
  <si>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</si>
  <si>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</si>
  <si>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</si>
  <si>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</si>
  <si>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</si>
  <si>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</si>
  <si>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</si>
  <si>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</si>
  <si>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</si>
  <si>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</si>
  <si>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</si>
  <si>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</si>
  <si>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</si>
  <si>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</si>
  <si>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</si>
  <si>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</si>
  <si>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</si>
  <si>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</si>
  <si>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</si>
  <si>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</si>
  <si>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</si>
  <si>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</si>
  <si>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</si>
  <si>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</si>
  <si>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</si>
  <si>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</si>
  <si>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</si>
  <si>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</si>
  <si>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</si>
  <si>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</si>
  <si>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</si>
  <si>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</si>
  <si>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</si>
  <si>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</si>
  <si>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</si>
  <si>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</si>
  <si>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</si>
  <si>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</si>
  <si>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</si>
  <si>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</si>
  <si>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</si>
  <si>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</si>
  <si>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</si>
  <si>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</si>
  <si>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</si>
  <si>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</si>
  <si>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</si>
  <si>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</si>
  <si>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</si>
  <si>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</si>
  <si>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</si>
  <si>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</si>
  <si>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</si>
  <si>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</si>
  <si>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</si>
  <si>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</si>
  <si>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</si>
  <si>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</si>
  <si>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</si>
  <si>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</si>
  <si>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</si>
  <si>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</si>
  <si>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</si>
  <si>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</si>
  <si>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</si>
  <si>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</si>
  <si>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</si>
  <si>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</si>
  <si>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</si>
  <si>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</si>
  <si>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</si>
  <si>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</si>
  <si>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</si>
  <si>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</si>
  <si>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</si>
  <si>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</si>
  <si>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</si>
  <si>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</si>
  <si>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</si>
  <si>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</si>
  <si>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</si>
  <si>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</si>
  <si>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</si>
  <si>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</si>
  <si>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</si>
  <si>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</si>
  <si>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</si>
  <si>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</si>
  <si>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</si>
  <si>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</si>
  <si>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</si>
  <si>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</si>
  <si>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</si>
  <si>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</si>
  <si>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</si>
  <si>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</si>
  <si>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</si>
  <si>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</si>
  <si>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</si>
  <si>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</si>
  <si>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</si>
  <si>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</si>
  <si>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</si>
  <si>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</si>
  <si>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</si>
  <si>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</si>
  <si>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</si>
  <si>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</si>
  <si>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</si>
  <si>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</si>
  <si>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</si>
  <si>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</si>
  <si>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</si>
  <si>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</si>
  <si>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</si>
  <si>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</si>
  <si>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</si>
  <si>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</si>
  <si>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</si>
  <si>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</si>
  <si>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</si>
  <si>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</si>
  <si>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</si>
  <si>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</si>
  <si>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</si>
  <si>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</si>
  <si>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</si>
  <si>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</si>
  <si>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</si>
  <si>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</si>
  <si>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</si>
  <si>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</si>
  <si>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</si>
  <si>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</si>
  <si>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</si>
  <si>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</si>
  <si>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</si>
  <si>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</si>
  <si>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</si>
  <si>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</si>
  <si>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</si>
  <si>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</si>
  <si>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</si>
  <si>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</si>
  <si>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</si>
  <si>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</si>
  <si>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</si>
  <si>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</si>
  <si>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</si>
  <si>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</si>
  <si>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</si>
  <si>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</si>
  <si>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</si>
  <si>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</si>
  <si>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</si>
  <si>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</si>
  <si>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</si>
  <si>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</si>
  <si>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</si>
  <si>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</si>
  <si>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</si>
  <si>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</si>
  <si>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</si>
  <si>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</si>
  <si>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</si>
  <si>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</si>
  <si>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</si>
  <si>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</si>
  <si>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</si>
  <si>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</si>
  <si>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</si>
  <si>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</si>
  <si>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</si>
  <si>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</si>
  <si>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</si>
  <si>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</si>
  <si>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</si>
  <si>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</si>
  <si>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</si>
  <si>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</si>
  <si>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</si>
  <si>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</si>
  <si>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</si>
  <si>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</si>
  <si>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</si>
  <si>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</si>
  <si>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</si>
  <si>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</si>
  <si>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</si>
  <si>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</si>
  <si>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</si>
  <si>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</si>
  <si>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</si>
  <si>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</si>
  <si>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</si>
  <si>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</si>
  <si>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</si>
  <si>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</si>
  <si>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</si>
  <si>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</si>
  <si>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</si>
  <si>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</si>
  <si>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</si>
  <si>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</si>
  <si>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</si>
  <si>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</si>
  <si>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</si>
  <si>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</si>
  <si>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</si>
  <si>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</si>
  <si>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</si>
  <si>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</si>
  <si>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</si>
  <si>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</si>
  <si>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</si>
  <si>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</si>
  <si>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</si>
  <si>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</si>
  <si>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</si>
  <si>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</si>
  <si>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</si>
  <si>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</si>
  <si>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</si>
  <si>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</si>
  <si>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</si>
  <si>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</si>
  <si>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</si>
  <si>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</si>
  <si>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</si>
  <si>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</si>
  <si>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</si>
  <si>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</si>
  <si>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</si>
  <si>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</si>
  <si>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</si>
  <si>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</si>
  <si>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</si>
  <si>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</si>
  <si>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</si>
  <si>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</si>
  <si>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</si>
  <si>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</si>
  <si>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</si>
  <si>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</si>
  <si>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</si>
  <si>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</si>
  <si>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</si>
  <si>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</si>
  <si>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</si>
  <si>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</si>
  <si>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</si>
  <si>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</si>
  <si>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</si>
  <si>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</si>
  <si>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</si>
  <si>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</si>
  <si>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</si>
  <si>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</si>
  <si>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</si>
  <si>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</si>
  <si>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</si>
  <si>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</si>
  <si>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</si>
  <si>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</si>
  <si>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</si>
  <si>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</si>
  <si>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</si>
  <si>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</si>
  <si>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</si>
  <si>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</si>
  <si>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</si>
  <si>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</si>
  <si>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</si>
  <si>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</si>
  <si>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</si>
  <si>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</si>
  <si>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</si>
  <si>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</si>
  <si>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</si>
  <si>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</si>
  <si>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</si>
  <si>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</si>
  <si>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</si>
  <si>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</si>
  <si>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</si>
  <si>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</si>
  <si>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</si>
  <si>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</si>
  <si>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</si>
  <si>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</si>
  <si>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</si>
  <si>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</si>
  <si>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</si>
  <si>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</si>
  <si>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</si>
  <si>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</si>
  <si>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</si>
  <si>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</si>
  <si>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</si>
  <si>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</si>
  <si>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</si>
  <si>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</si>
  <si>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</si>
  <si>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</si>
  <si>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</si>
  <si>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</si>
  <si>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</si>
  <si>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</si>
  <si>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</si>
  <si>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</si>
  <si>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</si>
  <si>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</si>
  <si>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</si>
  <si>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</si>
  <si>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</si>
  <si>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</si>
  <si>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</si>
  <si>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</si>
  <si>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</si>
  <si>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</si>
  <si>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</si>
  <si>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</si>
  <si>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</si>
  <si>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</si>
  <si>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</si>
  <si>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</si>
  <si>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</si>
  <si>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</si>
  <si>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</si>
  <si>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</si>
  <si>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</si>
  <si>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</si>
  <si>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</si>
  <si>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</si>
  <si>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</si>
  <si>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</si>
  <si>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</si>
  <si>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</si>
  <si>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</si>
  <si>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</si>
  <si>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</si>
  <si>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</si>
  <si>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</si>
  <si>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</si>
  <si>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</si>
  <si>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</si>
  <si>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</si>
  <si>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</si>
  <si>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</si>
  <si>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</si>
  <si>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</si>
  <si>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</si>
  <si>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</si>
  <si>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</si>
  <si>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</si>
  <si>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</si>
  <si>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</si>
  <si>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</si>
  <si>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</si>
  <si>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</si>
  <si>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</si>
  <si>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</si>
  <si>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</si>
  <si>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</si>
  <si>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</si>
  <si>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</si>
  <si>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</si>
  <si>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</si>
  <si>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</si>
  <si>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</si>
  <si>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</si>
  <si>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</si>
  <si>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</si>
  <si>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</si>
  <si>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</si>
  <si>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</si>
  <si>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</si>
  <si>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</si>
  <si>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</si>
  <si>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</si>
  <si>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</si>
  <si>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</si>
  <si>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</si>
  <si>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</si>
  <si>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</si>
  <si>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</si>
  <si>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</si>
  <si>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</si>
  <si>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</si>
  <si>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</si>
  <si>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</si>
  <si>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</si>
  <si>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</si>
  <si>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</si>
  <si>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</si>
  <si>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</si>
  <si>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</si>
  <si>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</si>
  <si>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</si>
  <si>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</si>
  <si>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</si>
  <si>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</si>
  <si>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</si>
  <si>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</si>
  <si>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</si>
  <si>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</si>
  <si>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</si>
  <si>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</si>
  <si>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</si>
  <si>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</si>
  <si>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</si>
  <si>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</si>
  <si>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</si>
  <si>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</si>
  <si>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</si>
  <si>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</si>
  <si>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</si>
  <si>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</si>
  <si>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</si>
  <si>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</si>
  <si>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</si>
  <si>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</si>
  <si>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</si>
  <si>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</si>
  <si>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</si>
  <si>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</si>
  <si>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</si>
  <si>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</si>
  <si>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</si>
  <si>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</si>
  <si>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</si>
  <si>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</si>
  <si>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</si>
  <si>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</si>
  <si>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</si>
  <si>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</si>
  <si>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</si>
  <si>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</si>
  <si>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</si>
  <si>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</si>
  <si>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</si>
  <si>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</si>
  <si>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</si>
  <si>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</si>
  <si>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</si>
  <si>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</si>
  <si>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</si>
  <si>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</si>
  <si>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</si>
  <si>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</si>
  <si>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</si>
  <si>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</si>
  <si>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</si>
  <si>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</si>
  <si>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</si>
  <si>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</si>
  <si>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</si>
  <si>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</si>
  <si>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</si>
  <si>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</si>
  <si>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</si>
  <si>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</si>
  <si>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</si>
  <si>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</si>
  <si>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</si>
  <si>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</si>
  <si>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</si>
  <si>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</si>
  <si>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</si>
  <si>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</si>
  <si>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</si>
  <si>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</si>
  <si>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</si>
  <si>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</si>
  <si>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</si>
  <si>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</si>
  <si>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</si>
  <si>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</si>
  <si>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</si>
  <si>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</si>
  <si>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</si>
  <si>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</si>
  <si>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</si>
  <si>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</si>
  <si>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</si>
  <si>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</si>
  <si>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</si>
  <si>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</si>
  <si>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</si>
  <si>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</si>
  <si>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</si>
  <si>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</si>
  <si>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</si>
  <si>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</si>
  <si>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</si>
  <si>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</si>
  <si>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</si>
  <si>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</si>
  <si>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</si>
  <si>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</si>
  <si>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</si>
  <si>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</si>
  <si>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</si>
  <si>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</si>
  <si>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</si>
  <si>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</si>
  <si>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</si>
  <si>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</si>
  <si>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</si>
  <si>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</si>
  <si>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</si>
  <si>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</si>
  <si>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</si>
  <si>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</si>
  <si>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</si>
  <si>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</si>
  <si>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</si>
  <si>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</si>
  <si>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</si>
  <si>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</si>
  <si>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</si>
  <si>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</si>
  <si>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</si>
  <si>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</si>
  <si>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</si>
  <si>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</si>
  <si>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</si>
  <si>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</si>
  <si>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</si>
  <si>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</si>
  <si>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</si>
  <si>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</si>
  <si>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</si>
  <si>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</si>
  <si>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</si>
  <si>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</si>
  <si>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</si>
  <si>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</si>
  <si>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</si>
  <si>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</si>
  <si>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</si>
  <si>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</si>
  <si>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</si>
  <si>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</si>
  <si>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</si>
  <si>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</si>
  <si>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</si>
  <si>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</si>
  <si>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</si>
  <si>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</si>
  <si>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</si>
  <si>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</si>
  <si>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</si>
  <si>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</si>
  <si>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</si>
  <si>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</si>
  <si>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</si>
  <si>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</si>
  <si>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</si>
  <si>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</si>
  <si>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</si>
  <si>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</si>
  <si>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</si>
  <si>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</si>
  <si>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</si>
  <si>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</si>
  <si>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</si>
  <si>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</si>
  <si>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</si>
  <si>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</si>
  <si>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</si>
  <si>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</si>
  <si>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</si>
  <si>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</si>
  <si>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</si>
  <si>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</si>
  <si>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</si>
  <si>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</si>
  <si>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</si>
  <si>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</si>
  <si>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</si>
  <si>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</si>
  <si>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</si>
  <si>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</si>
  <si>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</si>
  <si>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</si>
  <si>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</si>
  <si>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</si>
  <si>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</si>
  <si>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</si>
  <si>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</si>
  <si>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</si>
  <si>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</si>
  <si>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</si>
  <si>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</si>
  <si>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</si>
  <si>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</si>
  <si>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</si>
  <si>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</si>
  <si>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</si>
  <si>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</si>
  <si>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</si>
  <si>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</si>
  <si>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</si>
  <si>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</si>
  <si>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</si>
  <si>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</si>
  <si>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</si>
  <si>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</si>
  <si>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</si>
  <si>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</si>
  <si>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</si>
  <si>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</si>
  <si>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</si>
  <si>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</si>
  <si>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</si>
  <si>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</si>
  <si>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</si>
  <si>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</si>
  <si>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</si>
  <si>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</si>
  <si>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</si>
  <si>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</si>
  <si>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</si>
  <si>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</si>
  <si>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</si>
  <si>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</si>
  <si>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</si>
  <si>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</si>
  <si>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</si>
  <si>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</si>
  <si>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</si>
  <si>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</si>
  <si>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</si>
  <si>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</si>
  <si>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</si>
  <si>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</si>
  <si>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</si>
  <si>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</si>
  <si>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</si>
  <si>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</si>
  <si>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</si>
  <si>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</si>
  <si>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</si>
  <si>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</si>
  <si>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</si>
  <si>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</si>
  <si>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</si>
  <si>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</si>
  <si>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</si>
  <si>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</si>
  <si>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</si>
  <si>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</si>
  <si>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</si>
  <si>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</si>
  <si>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</si>
  <si>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</si>
  <si>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</si>
  <si>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</si>
  <si>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</si>
  <si>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</si>
  <si>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</si>
  <si>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</si>
  <si>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</si>
  <si>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</si>
  <si>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</si>
  <si>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</si>
  <si>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</si>
  <si>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</si>
  <si>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</si>
  <si>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</si>
  <si>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</si>
  <si>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</si>
  <si>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</si>
  <si>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</si>
  <si>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</si>
  <si>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</si>
  <si>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</si>
  <si>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</si>
  <si>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</si>
  <si>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</si>
  <si>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</si>
  <si>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</si>
  <si>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</si>
  <si>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</si>
  <si>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</si>
  <si>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</si>
  <si>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</si>
  <si>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</si>
  <si>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</si>
  <si>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</si>
  <si>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</si>
  <si>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</si>
  <si>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</si>
  <si>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</si>
  <si>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</si>
  <si>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</si>
  <si>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</si>
  <si>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</si>
  <si>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</si>
  <si>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</si>
  <si>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</si>
  <si>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</si>
  <si>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</si>
  <si>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</si>
  <si>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</si>
  <si>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</si>
  <si>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</si>
  <si>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</si>
  <si>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</si>
  <si>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</si>
  <si>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</si>
  <si>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</si>
  <si>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</si>
  <si>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</si>
  <si>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</si>
  <si>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</si>
  <si>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</si>
  <si>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</si>
  <si>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</si>
  <si>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</si>
  <si>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</si>
  <si>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</si>
  <si>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</si>
  <si>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</si>
  <si>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</si>
  <si>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</si>
  <si>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</si>
  <si>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</si>
  <si>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</si>
  <si>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</si>
  <si>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</si>
  <si>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</si>
  <si>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</si>
  <si>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</si>
  <si>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</si>
  <si>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</si>
  <si>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</si>
  <si>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</si>
  <si>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</si>
  <si>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</si>
  <si>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</si>
  <si>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</si>
  <si>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</si>
  <si>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</si>
  <si>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</si>
  <si>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</si>
  <si>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</si>
  <si>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</si>
  <si>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</si>
  <si>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</si>
  <si>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</si>
  <si>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</si>
  <si>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</si>
  <si>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</si>
  <si>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</si>
  <si>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</si>
  <si>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</si>
  <si>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</si>
  <si>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</si>
  <si>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</si>
  <si>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</si>
  <si>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</si>
  <si>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</si>
  <si>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</si>
  <si>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</si>
  <si>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</si>
  <si>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</si>
  <si>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</si>
  <si>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</si>
  <si>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</si>
  <si>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</si>
  <si>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</si>
  <si>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</si>
  <si>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</si>
  <si>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</si>
  <si>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</si>
  <si>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</si>
  <si>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</si>
  <si>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</si>
  <si>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</si>
  <si>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</si>
  <si>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</si>
  <si>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</si>
  <si>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</si>
  <si>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</si>
  <si>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</si>
  <si>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</si>
  <si>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</si>
  <si>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</si>
  <si>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</si>
  <si>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</si>
  <si>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</si>
  <si>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</si>
  <si>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E-tec Interconnect Asia Ltd. / E-tec Interconnect AG / EMC electro mechanical components GmbH</t>
  </si>
  <si>
    <t>The material of plating surface</t>
  </si>
  <si>
    <t>Taiwan/China made products</t>
  </si>
  <si>
    <t>Ryan Chou</t>
  </si>
  <si>
    <t>ryan.chou@e-tec-asia.com.tw</t>
  </si>
  <si>
    <t>886-2-2999-2726</t>
  </si>
  <si>
    <t>ryan.chou@e-tec.asia.com.tw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</si>
</sst>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yan.chou@e-tec-asia.com.tw"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yan.chou@e-tec.asia.com.tw"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38B1426-EC27-4550-9554-F6F22170AB5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0D4D08F-0661-4345-A228-E146D39D845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21" sqref="D21:J2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15658</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15659</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15660</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15658</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15661</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44713</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t="s">
        <v>15656</v>
      </c>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t="s">
        <v>15656</v>
      </c>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t="s">
        <v>15656</v>
      </c>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t="s">
        <v>15656</v>
      </c>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489</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1">
        <v>1</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6E4AB09-57DB-4BD1-A1E6-8A3CFD7D064F}"/>
    <hyperlink ref="D20" r:id="rId4" xr:uid="{22D93057-796B-42B7-BD81-85281EB764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 zoomScaleNormal="100" zoomScalePageLayoutView="55" workbookViewId="0">
      <selection activeCell="Q19" sqref="Q19"/>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679</v>
      </c>
      <c r="B5" s="182" t="str">
        <f ca="1">IF(LEN(A5)=0,"",INDEX('Smelter Look-up'!$A:$A,MATCH($A5,'Smelter Look-up'!$E:$E,0)))</f>
        <v>Gold</v>
      </c>
      <c r="C5" s="186" t="str">
        <f ca="1">IF(LEN(A5)=0,"",INDEX('Smelter Look-up'!$C:$C,MATCH($A5,'Smelter Look-up'!$E:$E,0)))</f>
        <v>Heraeus Metals Hong Kong Ltd.</v>
      </c>
      <c r="D5" s="233"/>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5"/>
      <c r="L5" s="225"/>
      <c r="M5" s="225"/>
      <c r="N5" s="225"/>
      <c r="O5" s="225"/>
      <c r="P5" s="185"/>
      <c r="Q5" s="226" t="s">
        <v>15657</v>
      </c>
      <c r="R5" s="182" t="str">
        <f ca="1">IF(ISERROR($V5),"",OFFSET('Smelter Look-up'!$C$4,$V5-4,0)&amp;"")</f>
        <v>Heraeus Metals Hong Kong Ltd.</v>
      </c>
      <c r="S5" s="181" t="str">
        <f t="shared" ref="S5" ca="1" si="0">IF(B5="","",IF(ISERROR(MATCH($E5,CL,0)),"Unknown",INDIRECT("'C'!$A$"&amp;MATCH($E5,CL,0)+1)))</f>
        <v>CN</v>
      </c>
      <c r="T5" s="181" t="str">
        <f ca="1">IF(B5="","",IF(ISERROR(MATCH($J5,SorP!$B$1:$B$6230,0)),"",INDIRECT("'SorP'!$A$"&amp;MATCH($J5,SorP!$B$1:$B$6230,0))))</f>
        <v/>
      </c>
      <c r="U5" s="201"/>
      <c r="V5" s="227">
        <f ca="1">IF(C5="",NA(),IF(OR(C5="Smelter not listed",C5="Smelter not yet identified"),MATCH($B5&amp;$D5,'Smelter Look-up'!$J:$J,0),MATCH($B5&amp;$C5,'Smelter Look-up'!$J:$J,0)))</f>
        <v>108</v>
      </c>
      <c r="X5" s="228">
        <f t="shared" ref="X5" ca="1" si="1">IF(AND(C5="Smelter not listed",OR(LEN(D5)=0,LEN(E5)=0)),1,0)</f>
        <v>0</v>
      </c>
      <c r="AB5" s="229" t="str">
        <f t="shared" ref="AB5" ca="1" si="2">B5&amp;C5</f>
        <v>GoldHeraeus Metals Hong Kong Ltd.</v>
      </c>
    </row>
    <row r="6" spans="1:34" s="228" customFormat="1" ht="19.899999999999999" customHeight="1">
      <c r="A6" s="266" t="s">
        <v>654</v>
      </c>
      <c r="B6" s="182" t="str">
        <f ca="1">IF(LEN(A6)=0,"",INDEX('Smelter Look-up'!$A:$A,MATCH($A6,'Smelter Look-up'!$E:$E,0)))</f>
        <v>Gold</v>
      </c>
      <c r="C6" s="186" t="str">
        <f ca="1">IF(LEN(A6)=0,"",INDEX('Smelter Look-up'!$C:$C,MATCH($A6,'Smelter Look-up'!$E:$E,0)))</f>
        <v>Argor-Heraeus S.A.</v>
      </c>
      <c r="D6" s="233"/>
      <c r="E6" s="182" t="str">
        <f ca="1">IF(ISERROR($V6),"",OFFSET('Smelter Look-up'!$D$4,$V6-4,0)&amp;"")</f>
        <v>SWITZERLAND</v>
      </c>
      <c r="F6" s="182" t="str">
        <f ca="1">IF(ISERROR($V6),"",OFFSET('Smelter Look-up'!$E$4,$V6-4,0))</f>
        <v>CID000077</v>
      </c>
      <c r="G6" s="182" t="str">
        <f ca="1">IF(C6=$X$4,IF(ISERROR($V6),"Enter smelter details","RMI"),IF(ISERROR($V6),"",OFFSET('Smelter Look-up'!$F$4,$V6-4,0)))</f>
        <v>RMI</v>
      </c>
      <c r="H6" s="183">
        <f ca="1">IF(ISERROR($V6),"",OFFSET('Smelter Look-up'!$G$4,$V6-4,0))</f>
        <v>0</v>
      </c>
      <c r="I6" s="184" t="str">
        <f ca="1">IF(ISERROR($V6),"",OFFSET('Smelter Look-up'!$H$4,$V6-4,0))</f>
        <v>Mendrisio</v>
      </c>
      <c r="J6" s="184" t="str">
        <f ca="1">IF(ISERROR($V6),"",OFFSET('Smelter Look-up'!$I$4,$V6-4,0))</f>
        <v>Ticino</v>
      </c>
      <c r="K6" s="225"/>
      <c r="L6" s="225"/>
      <c r="M6" s="225"/>
      <c r="N6" s="225"/>
      <c r="O6" s="225"/>
      <c r="P6" s="185"/>
      <c r="Q6" s="226" t="s">
        <v>15657</v>
      </c>
      <c r="R6" s="182" t="str">
        <f ca="1">IF(ISERROR($V6),"",OFFSET('Smelter Look-up'!$C$4,$V6-4,0)&amp;"")</f>
        <v>Argor-Heraeus S.A.</v>
      </c>
      <c r="S6" s="181" t="str">
        <f t="shared" ref="S6:S37" ca="1" si="3">IF(B6="","",IF(ISERROR(MATCH($E6,CL,0)),"Unknown",INDIRECT("'C'!$A$"&amp;MATCH($E6,CL,0)+1)))</f>
        <v>CH</v>
      </c>
      <c r="T6" s="181" t="str">
        <f ca="1">IF(B6="","",IF(ISERROR(MATCH($J6,SorP!$B$1:$B$6230,0)),"",INDIRECT("'SorP'!$A$"&amp;MATCH($J6,SorP!$B$1:$B$6230,0))))</f>
        <v>CH-TI</v>
      </c>
      <c r="U6" s="201"/>
      <c r="V6" s="227">
        <f ca="1">IF(C6="",NA(),IF(OR(C6="Smelter not listed",C6="Smelter not yet identified"),MATCH($B6&amp;$D6,'Smelter Look-up'!$J:$J,0),MATCH($B6&amp;$C6,'Smelter Look-up'!$J:$J,0)))</f>
        <v>28</v>
      </c>
      <c r="X6" s="228">
        <f t="shared" ref="X6:X37" ca="1" si="4">IF(AND(C6="Smelter not listed",OR(LEN(D6)=0,LEN(E6)=0)),1,0)</f>
        <v>0</v>
      </c>
      <c r="AB6" s="229" t="str">
        <f t="shared" ref="AB6:AB37" ca="1" si="5">B6&amp;C6</f>
        <v>GoldArgor-Heraeus S.A.</v>
      </c>
    </row>
    <row r="7" spans="1:34" s="228" customFormat="1" ht="19.899999999999999" customHeight="1">
      <c r="A7" s="266" t="s">
        <v>1627</v>
      </c>
      <c r="B7" s="182" t="str">
        <f ca="1">IF(LEN(A7)=0,"",INDEX('Smelter Look-up'!$A:$A,MATCH($A7,'Smelter Look-up'!$E:$E,0)))</f>
        <v>Gold</v>
      </c>
      <c r="C7" s="186" t="str">
        <f ca="1">IF(LEN(A7)=0,"",INDEX('Smelter Look-up'!$C:$C,MATCH($A7,'Smelter Look-up'!$E:$E,0)))</f>
        <v>Metalor Technologies (Suzhou) Ltd.</v>
      </c>
      <c r="D7" s="233"/>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5"/>
      <c r="L7" s="225"/>
      <c r="M7" s="225"/>
      <c r="N7" s="225"/>
      <c r="O7" s="225"/>
      <c r="P7" s="185"/>
      <c r="Q7" s="226" t="s">
        <v>15657</v>
      </c>
      <c r="R7" s="182" t="str">
        <f ca="1">IF(ISERROR($V7),"",OFFSET('Smelter Look-up'!$C$4,$V7-4,0)&amp;"")</f>
        <v>Metalor Technologies (Suzhou) Ltd.</v>
      </c>
      <c r="S7" s="181" t="str">
        <f t="shared" ca="1" si="3"/>
        <v>CN</v>
      </c>
      <c r="T7" s="181" t="str">
        <f ca="1">IF(B7="","",IF(ISERROR(MATCH($J7,SorP!$B$1:$B$6230,0)),"",INDIRECT("'SorP'!$A$"&amp;MATCH($J7,SorP!$B$1:$B$6230,0))))</f>
        <v>CN-JS</v>
      </c>
      <c r="U7" s="201"/>
      <c r="V7" s="227">
        <f ca="1">IF(C7="",NA(),IF(OR(C7="Smelter not listed",C7="Smelter not yet identified"),MATCH($B7&amp;$D7,'Smelter Look-up'!$J:$J,0),MATCH($B7&amp;$C7,'Smelter Look-up'!$J:$J,0)))</f>
        <v>175</v>
      </c>
      <c r="X7" s="228">
        <f t="shared" ca="1" si="4"/>
        <v>0</v>
      </c>
      <c r="AB7" s="229" t="str">
        <f t="shared" ca="1" si="5"/>
        <v>GoldMetalor Technologies (Suzhou) Ltd.</v>
      </c>
    </row>
    <row r="8" spans="1:34" s="228" customFormat="1" ht="19.899999999999999" customHeight="1">
      <c r="A8" s="266" t="s">
        <v>705</v>
      </c>
      <c r="B8" s="182" t="str">
        <f ca="1">IF(LEN(A8)=0,"",INDEX('Smelter Look-up'!$A:$A,MATCH($A8,'Smelter Look-up'!$E:$E,0)))</f>
        <v>Gold</v>
      </c>
      <c r="C8" s="186" t="str">
        <f ca="1">IF(LEN(A8)=0,"",INDEX('Smelter Look-up'!$C:$C,MATCH($A8,'Smelter Look-up'!$E:$E,0)))</f>
        <v>Metalor Technologies (Hong Kong) Ltd.</v>
      </c>
      <c r="D8" s="233"/>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v>
      </c>
      <c r="K8" s="225"/>
      <c r="L8" s="225"/>
      <c r="M8" s="225"/>
      <c r="N8" s="225"/>
      <c r="O8" s="225"/>
      <c r="P8" s="185"/>
      <c r="Q8" s="226" t="s">
        <v>15657</v>
      </c>
      <c r="R8" s="182" t="str">
        <f ca="1">IF(ISERROR($V8),"",OFFSET('Smelter Look-up'!$C$4,$V8-4,0)&amp;"")</f>
        <v>Metalor Technologies (Hong Kong) Ltd.</v>
      </c>
      <c r="S8" s="181" t="str">
        <f t="shared" ca="1" si="3"/>
        <v>CN</v>
      </c>
      <c r="T8" s="181" t="str">
        <f ca="1">IF(B8="","",IF(ISERROR(MATCH($J8,SorP!$B$1:$B$6230,0)),"",INDIRECT("'SorP'!$A$"&amp;MATCH($J8,SorP!$B$1:$B$6230,0))))</f>
        <v/>
      </c>
      <c r="U8" s="201"/>
      <c r="V8" s="227">
        <f ca="1">IF(C8="",NA(),IF(OR(C8="Smelter not listed",C8="Smelter not yet identified"),MATCH($B8&amp;$D8,'Smelter Look-up'!$J:$J,0),MATCH($B8&amp;$C8,'Smelter Look-up'!$J:$J,0)))</f>
        <v>173</v>
      </c>
      <c r="X8" s="228">
        <f t="shared" ca="1" si="4"/>
        <v>0</v>
      </c>
      <c r="AB8" s="229" t="str">
        <f t="shared" ca="1" si="5"/>
        <v>GoldMetalor Technologies (Hong Kong) Ltd.</v>
      </c>
    </row>
    <row r="9" spans="1:34" s="228" customFormat="1" ht="19.899999999999999" customHeight="1">
      <c r="A9" s="266" t="s">
        <v>706</v>
      </c>
      <c r="B9" s="182" t="str">
        <f ca="1">IF(LEN(A9)=0,"",INDEX('Smelter Look-up'!$A:$A,MATCH($A9,'Smelter Look-up'!$E:$E,0)))</f>
        <v>Gold</v>
      </c>
      <c r="C9" s="186" t="str">
        <f ca="1">IF(LEN(A9)=0,"",INDEX('Smelter Look-up'!$C:$C,MATCH($A9,'Smelter Look-up'!$E:$E,0)))</f>
        <v>Metalor Technologies (Singapore) Pte., Ltd.</v>
      </c>
      <c r="D9" s="233"/>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5"/>
      <c r="L9" s="225"/>
      <c r="M9" s="225"/>
      <c r="N9" s="225"/>
      <c r="O9" s="225"/>
      <c r="P9" s="185"/>
      <c r="Q9" s="226" t="s">
        <v>15657</v>
      </c>
      <c r="R9" s="182" t="str">
        <f ca="1">IF(ISERROR($V9),"",OFFSET('Smelter Look-up'!$C$4,$V9-4,0)&amp;"")</f>
        <v>Metalor Technologies (Singapore) Pte., Ltd.</v>
      </c>
      <c r="S9" s="181" t="str">
        <f t="shared" ca="1" si="3"/>
        <v>SG</v>
      </c>
      <c r="T9" s="181" t="str">
        <f ca="1">IF(B9="","",IF(ISERROR(MATCH($J9,SorP!$B$1:$B$6230,0)),"",INDIRECT("'SorP'!$A$"&amp;MATCH($J9,SorP!$B$1:$B$6230,0))))</f>
        <v>SG-05</v>
      </c>
      <c r="U9" s="201"/>
      <c r="V9" s="227">
        <f ca="1">IF(C9="",NA(),IF(OR(C9="Smelter not listed",C9="Smelter not yet identified"),MATCH($B9&amp;$D9,'Smelter Look-up'!$J:$J,0),MATCH($B9&amp;$C9,'Smelter Look-up'!$J:$J,0)))</f>
        <v>174</v>
      </c>
      <c r="X9" s="228">
        <f t="shared" ca="1" si="4"/>
        <v>0</v>
      </c>
      <c r="AB9" s="229" t="str">
        <f t="shared" ca="1" si="5"/>
        <v>GoldMetalor Technologies (Singapore) Pte., Ltd.</v>
      </c>
    </row>
    <row r="10" spans="1:34" s="228" customFormat="1" ht="19.899999999999999" customHeight="1">
      <c r="A10" s="266" t="s">
        <v>707</v>
      </c>
      <c r="B10" s="182" t="str">
        <f ca="1">IF(LEN(A10)=0,"",INDEX('Smelter Look-up'!$A:$A,MATCH($A10,'Smelter Look-up'!$E:$E,0)))</f>
        <v>Gold</v>
      </c>
      <c r="C10" s="186" t="str">
        <f ca="1">IF(LEN(A10)=0,"",INDEX('Smelter Look-up'!$C:$C,MATCH($A10,'Smelter Look-up'!$E:$E,0)))</f>
        <v>Metalor Technologies S.A.</v>
      </c>
      <c r="D10" s="233"/>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5"/>
      <c r="L10" s="225"/>
      <c r="M10" s="225"/>
      <c r="N10" s="225"/>
      <c r="O10" s="225"/>
      <c r="P10" s="185"/>
      <c r="Q10" s="226" t="s">
        <v>15657</v>
      </c>
      <c r="R10" s="182" t="str">
        <f ca="1">IF(ISERROR($V10),"",OFFSET('Smelter Look-up'!$C$4,$V10-4,0)&amp;"")</f>
        <v>Metalor Technologies S.A.</v>
      </c>
      <c r="S10" s="181" t="str">
        <f t="shared" ca="1" si="3"/>
        <v>CH</v>
      </c>
      <c r="T10" s="181" t="str">
        <f ca="1">IF(B10="","",IF(ISERROR(MATCH($J10,SorP!$B$1:$B$6230,0)),"",INDIRECT("'SorP'!$A$"&amp;MATCH($J10,SorP!$B$1:$B$6230,0))))</f>
        <v>CH-NE</v>
      </c>
      <c r="U10" s="201"/>
      <c r="V10" s="227">
        <f ca="1">IF(C10="",NA(),IF(OR(C10="Smelter not listed",C10="Smelter not yet identified"),MATCH($B10&amp;$D10,'Smelter Look-up'!$J:$J,0),MATCH($B10&amp;$C10,'Smelter Look-up'!$J:$J,0)))</f>
        <v>176</v>
      </c>
      <c r="X10" s="228">
        <f t="shared" ca="1" si="4"/>
        <v>0</v>
      </c>
      <c r="AB10" s="229" t="str">
        <f t="shared" ca="1" si="5"/>
        <v>GoldMetalor Technologies S.A.</v>
      </c>
    </row>
    <row r="11" spans="1:34" s="228" customFormat="1" ht="19.899999999999999" customHeight="1">
      <c r="A11" s="266" t="s">
        <v>708</v>
      </c>
      <c r="B11" s="182" t="str">
        <f ca="1">IF(LEN(A11)=0,"",INDEX('Smelter Look-up'!$A:$A,MATCH($A11,'Smelter Look-up'!$E:$E,0)))</f>
        <v>Gold</v>
      </c>
      <c r="C11" s="186" t="str">
        <f ca="1">IF(LEN(A11)=0,"",INDEX('Smelter Look-up'!$C:$C,MATCH($A11,'Smelter Look-up'!$E:$E,0)))</f>
        <v>Metalor USA Refining Corporation</v>
      </c>
      <c r="D11" s="233"/>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5"/>
      <c r="L11" s="225"/>
      <c r="M11" s="225"/>
      <c r="N11" s="225"/>
      <c r="O11" s="225"/>
      <c r="P11" s="185"/>
      <c r="Q11" s="226" t="s">
        <v>15657</v>
      </c>
      <c r="R11" s="182" t="str">
        <f ca="1">IF(ISERROR($V11),"",OFFSET('Smelter Look-up'!$C$4,$V11-4,0)&amp;"")</f>
        <v>Metalor USA Refining Corporation</v>
      </c>
      <c r="S11" s="181" t="str">
        <f t="shared" ca="1" si="3"/>
        <v>US</v>
      </c>
      <c r="T11" s="181" t="str">
        <f ca="1">IF(B11="","",IF(ISERROR(MATCH($J11,SorP!$B$1:$B$6230,0)),"",INDIRECT("'SorP'!$A$"&amp;MATCH($J11,SorP!$B$1:$B$6230,0))))</f>
        <v>US-MA</v>
      </c>
      <c r="U11" s="201"/>
      <c r="V11" s="227">
        <f ca="1">IF(C11="",NA(),IF(OR(C11="Smelter not listed",C11="Smelter not yet identified"),MATCH($B11&amp;$D11,'Smelter Look-up'!$J:$J,0),MATCH($B11&amp;$C11,'Smelter Look-up'!$J:$J,0)))</f>
        <v>177</v>
      </c>
      <c r="X11" s="228">
        <f t="shared" ca="1" si="4"/>
        <v>0</v>
      </c>
      <c r="AB11" s="229" t="str">
        <f t="shared" ca="1" si="5"/>
        <v>GoldMetalor USA Refining Corporation</v>
      </c>
    </row>
    <row r="12" spans="1:34" s="228" customFormat="1" ht="19.899999999999999" customHeight="1">
      <c r="A12" s="266" t="s">
        <v>728</v>
      </c>
      <c r="B12" s="182" t="str">
        <f ca="1">IF(LEN(A12)=0,"",INDEX('Smelter Look-up'!$A:$A,MATCH($A12,'Smelter Look-up'!$E:$E,0)))</f>
        <v>Gold</v>
      </c>
      <c r="C12" s="186" t="str">
        <f ca="1">IF(LEN(A12)=0,"",INDEX('Smelter Look-up'!$C:$C,MATCH($A12,'Smelter Look-up'!$E:$E,0)))</f>
        <v>Shandong Zhaojin Gold &amp; Silver Refinery Co., Ltd.</v>
      </c>
      <c r="D12" s="233"/>
      <c r="E12" s="182" t="str">
        <f ca="1">IF(ISERROR($V12),"",OFFSET('Smelter Look-up'!$D$4,$V12-4,0)&amp;"")</f>
        <v>CHINA</v>
      </c>
      <c r="F12" s="182" t="str">
        <f ca="1">IF(ISERROR($V12),"",OFFSET('Smelter Look-up'!$E$4,$V12-4,0))</f>
        <v>CID001622</v>
      </c>
      <c r="G12" s="182" t="str">
        <f ca="1">IF(C12=$X$4,IF(ISERROR($V12),"Enter smelter details","RMI"),IF(ISERROR($V12),"",OFFSET('Smelter Look-up'!$F$4,$V12-4,0)))</f>
        <v>RMI</v>
      </c>
      <c r="H12" s="183">
        <f ca="1">IF(ISERROR($V12),"",OFFSET('Smelter Look-up'!$G$4,$V12-4,0))</f>
        <v>0</v>
      </c>
      <c r="I12" s="184" t="str">
        <f ca="1">IF(ISERROR($V12),"",OFFSET('Smelter Look-up'!$H$4,$V12-4,0))</f>
        <v>Zhaoyuan</v>
      </c>
      <c r="J12" s="184" t="str">
        <f ca="1">IF(ISERROR($V12),"",OFFSET('Smelter Look-up'!$I$4,$V12-4,0))</f>
        <v>Shandong Sheng</v>
      </c>
      <c r="K12" s="225"/>
      <c r="L12" s="225"/>
      <c r="M12" s="225"/>
      <c r="N12" s="225"/>
      <c r="O12" s="225"/>
      <c r="P12" s="185"/>
      <c r="Q12" s="226" t="s">
        <v>15657</v>
      </c>
      <c r="R12" s="182" t="str">
        <f ca="1">IF(ISERROR($V12),"",OFFSET('Smelter Look-up'!$C$4,$V12-4,0)&amp;"")</f>
        <v>Shandong Zhaojin Gold &amp; Silver Refinery Co., Ltd.</v>
      </c>
      <c r="S12" s="181" t="str">
        <f t="shared" ca="1" si="3"/>
        <v>CN</v>
      </c>
      <c r="T12" s="181" t="str">
        <f ca="1">IF(B12="","",IF(ISERROR(MATCH($J12,SorP!$B$1:$B$6230,0)),"",INDIRECT("'SorP'!$A$"&amp;MATCH($J12,SorP!$B$1:$B$6230,0))))</f>
        <v>CN-SD</v>
      </c>
      <c r="U12" s="201"/>
      <c r="V12" s="227">
        <f ca="1">IF(C12="",NA(),IF(OR(C12="Smelter not listed",C12="Smelter not yet identified"),MATCH($B12&amp;$D12,'Smelter Look-up'!$J:$J,0),MATCH($B12&amp;$C12,'Smelter Look-up'!$J:$J,0)))</f>
        <v>246</v>
      </c>
      <c r="X12" s="228">
        <f t="shared" ca="1" si="4"/>
        <v>0</v>
      </c>
      <c r="AB12" s="229" t="str">
        <f t="shared" ca="1" si="5"/>
        <v>GoldShandong Zhaojin Gold &amp; Silver Refinery Co., Ltd.</v>
      </c>
    </row>
    <row r="13" spans="1:34" s="228" customFormat="1" ht="19.899999999999999" customHeight="1">
      <c r="A13" s="266" t="s">
        <v>791</v>
      </c>
      <c r="B13" s="182" t="str">
        <f ca="1">IF(LEN(A13)=0,"",INDEX('Smelter Look-up'!$A:$A,MATCH($A13,'Smelter Look-up'!$E:$E,0)))</f>
        <v>Tin</v>
      </c>
      <c r="C13" s="186" t="str">
        <f ca="1">IF(LEN(A13)=0,"",INDEX('Smelter Look-up'!$C:$C,MATCH($A13,'Smelter Look-up'!$E:$E,0)))</f>
        <v>Tin Smelting Branch of Yunnan Tin Co., Ltd.</v>
      </c>
      <c r="D13" s="233"/>
      <c r="E13" s="182" t="str">
        <f ca="1">IF(ISERROR($V13),"",OFFSET('Smelter Look-up'!$D$4,$V13-4,0)&amp;"")</f>
        <v>CHINA</v>
      </c>
      <c r="F13" s="182" t="str">
        <f ca="1">IF(ISERROR($V13),"",OFFSET('Smelter Look-up'!$E$4,$V13-4,0))</f>
        <v>CID002180</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5"/>
      <c r="L13" s="225"/>
      <c r="M13" s="225"/>
      <c r="N13" s="225"/>
      <c r="O13" s="225"/>
      <c r="P13" s="185"/>
      <c r="Q13" s="226" t="s">
        <v>15657</v>
      </c>
      <c r="R13" s="182" t="str">
        <f ca="1">IF(ISERROR($V13),"",OFFSET('Smelter Look-up'!$C$4,$V13-4,0)&amp;"")</f>
        <v>Tin Smelting Branch of Yunnan Tin Co., Ltd.</v>
      </c>
      <c r="S13" s="181" t="str">
        <f t="shared" ca="1" si="3"/>
        <v>CN</v>
      </c>
      <c r="T13" s="181" t="str">
        <f ca="1">IF(B13="","",IF(ISERROR(MATCH($J13,SorP!$B$1:$B$6230,0)),"",INDIRECT("'SorP'!$A$"&amp;MATCH($J13,SorP!$B$1:$B$6230,0))))</f>
        <v>CN-YN</v>
      </c>
      <c r="U13" s="201"/>
      <c r="V13" s="227">
        <f ca="1">IF(C13="",NA(),IF(OR(C13="Smelter not listed",C13="Smelter not yet identified"),MATCH($B13&amp;$D13,'Smelter Look-up'!$J:$J,0),MATCH($B13&amp;$C13,'Smelter Look-up'!$J:$J,0)))</f>
        <v>526</v>
      </c>
      <c r="X13" s="228">
        <f t="shared" ca="1" si="4"/>
        <v>0</v>
      </c>
      <c r="AB13" s="229" t="str">
        <f t="shared" ca="1" si="5"/>
        <v>TinTin Smelting Branch of Yunnan Tin Co., Ltd.</v>
      </c>
    </row>
    <row r="14" spans="1:34" s="228" customFormat="1" ht="19.899999999999999" customHeight="1">
      <c r="A14" s="266" t="s">
        <v>784</v>
      </c>
      <c r="B14" s="182" t="str">
        <f ca="1">IF(LEN(A14)=0,"",INDEX('Smelter Look-up'!$A:$A,MATCH($A14,'Smelter Look-up'!$E:$E,0)))</f>
        <v>Tin</v>
      </c>
      <c r="C14" s="186" t="str">
        <f ca="1">IF(LEN(A14)=0,"",INDEX('Smelter Look-up'!$C:$C,MATCH($A14,'Smelter Look-up'!$E:$E,0)))</f>
        <v>PT Timah Tbk Mentok</v>
      </c>
      <c r="D14" s="233"/>
      <c r="E14" s="182" t="str">
        <f ca="1">IF(ISERROR($V14),"",OFFSET('Smelter Look-up'!$D$4,$V14-4,0)&amp;"")</f>
        <v>INDONESIA</v>
      </c>
      <c r="F14" s="182" t="str">
        <f ca="1">IF(ISERROR($V14),"",OFFSET('Smelter Look-up'!$E$4,$V14-4,0))</f>
        <v>CID001482</v>
      </c>
      <c r="G14" s="182" t="str">
        <f ca="1">IF(C14=$X$4,IF(ISERROR($V14),"Enter smelter details","RMI"),IF(ISERROR($V14),"",OFFSET('Smelter Look-up'!$F$4,$V14-4,0)))</f>
        <v>RMI</v>
      </c>
      <c r="H14" s="183">
        <f ca="1">IF(ISERROR($V14),"",OFFSET('Smelter Look-up'!$G$4,$V14-4,0))</f>
        <v>0</v>
      </c>
      <c r="I14" s="184" t="str">
        <f ca="1">IF(ISERROR($V14),"",OFFSET('Smelter Look-up'!$H$4,$V14-4,0))</f>
        <v>Mentok</v>
      </c>
      <c r="J14" s="184" t="str">
        <f ca="1">IF(ISERROR($V14),"",OFFSET('Smelter Look-up'!$I$4,$V14-4,0))</f>
        <v>Kepulauan Bangka Belitung</v>
      </c>
      <c r="K14" s="225"/>
      <c r="L14" s="225"/>
      <c r="M14" s="225"/>
      <c r="N14" s="225"/>
      <c r="O14" s="225"/>
      <c r="P14" s="185"/>
      <c r="Q14" s="226" t="s">
        <v>15657</v>
      </c>
      <c r="R14" s="182" t="str">
        <f ca="1">IF(ISERROR($V14),"",OFFSET('Smelter Look-up'!$C$4,$V14-4,0)&amp;"")</f>
        <v>PT Timah Tbk Mentok</v>
      </c>
      <c r="S14" s="181" t="str">
        <f t="shared" ca="1" si="3"/>
        <v>ID</v>
      </c>
      <c r="T14" s="181" t="str">
        <f ca="1">IF(B14="","",IF(ISERROR(MATCH($J14,SorP!$B$1:$B$6230,0)),"",INDIRECT("'SorP'!$A$"&amp;MATCH($J14,SorP!$B$1:$B$6230,0))))</f>
        <v>ID-BB</v>
      </c>
      <c r="U14" s="201"/>
      <c r="V14" s="227">
        <f ca="1">IF(C14="",NA(),IF(OR(C14="Smelter not listed",C14="Smelter not yet identified"),MATCH($B14&amp;$D14,'Smelter Look-up'!$J:$J,0),MATCH($B14&amp;$C14,'Smelter Look-up'!$J:$J,0)))</f>
        <v>509</v>
      </c>
      <c r="X14" s="228">
        <f t="shared" ca="1" si="4"/>
        <v>0</v>
      </c>
      <c r="AB14" s="229" t="str">
        <f t="shared" ca="1" si="5"/>
        <v>TinPT Timah Tbk Mentok</v>
      </c>
    </row>
    <row r="15" spans="1:34" s="228" customFormat="1" ht="19.899999999999999" customHeight="1">
      <c r="A15" s="266" t="s">
        <v>770</v>
      </c>
      <c r="B15" s="182" t="str">
        <f ca="1">IF(LEN(A15)=0,"",INDEX('Smelter Look-up'!$A:$A,MATCH($A15,'Smelter Look-up'!$E:$E,0)))</f>
        <v>Tin</v>
      </c>
      <c r="C15" s="186" t="str">
        <f ca="1">IF(LEN(A15)=0,"",INDEX('Smelter Look-up'!$C:$C,MATCH($A15,'Smelter Look-up'!$E:$E,0)))</f>
        <v>Gejiu Non-Ferrous Metal Processing Co., Ltd.</v>
      </c>
      <c r="D15" s="233"/>
      <c r="E15" s="182" t="str">
        <f ca="1">IF(ISERROR($V15),"",OFFSET('Smelter Look-up'!$D$4,$V15-4,0)&amp;"")</f>
        <v>CHINA</v>
      </c>
      <c r="F15" s="182" t="str">
        <f ca="1">IF(ISERROR($V15),"",OFFSET('Smelter Look-up'!$E$4,$V15-4,0))</f>
        <v>CID000538</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5"/>
      <c r="L15" s="225"/>
      <c r="M15" s="225"/>
      <c r="N15" s="225"/>
      <c r="O15" s="225"/>
      <c r="P15" s="185"/>
      <c r="Q15" s="226" t="s">
        <v>15657</v>
      </c>
      <c r="R15" s="182" t="str">
        <f ca="1">IF(ISERROR($V15),"",OFFSET('Smelter Look-up'!$C$4,$V15-4,0)&amp;"")</f>
        <v>Gejiu Non-Ferrous Metal Processing Co., Ltd.</v>
      </c>
      <c r="S15" s="181" t="str">
        <f t="shared" ca="1" si="3"/>
        <v>CN</v>
      </c>
      <c r="T15" s="181" t="str">
        <f ca="1">IF(B15="","",IF(ISERROR(MATCH($J15,SorP!$B$1:$B$6230,0)),"",INDIRECT("'SorP'!$A$"&amp;MATCH($J15,SorP!$B$1:$B$6230,0))))</f>
        <v>CN-YN</v>
      </c>
      <c r="U15" s="201"/>
      <c r="V15" s="227">
        <f ca="1">IF(C15="",NA(),IF(OR(C15="Smelter not listed",C15="Smelter not yet identified"),MATCH($B15&amp;$D15,'Smelter Look-up'!$J:$J,0),MATCH($B15&amp;$C15,'Smelter Look-up'!$J:$J,0)))</f>
        <v>433</v>
      </c>
      <c r="X15" s="228">
        <f t="shared" ca="1" si="4"/>
        <v>0</v>
      </c>
      <c r="AB15" s="229" t="str">
        <f t="shared" ca="1" si="5"/>
        <v>TinGejiu Non-Ferrous Metal Processing Co., Ltd.</v>
      </c>
    </row>
    <row r="16" spans="1:34" s="228" customFormat="1" ht="19.899999999999999" customHeight="1">
      <c r="A16" s="266" t="s">
        <v>774</v>
      </c>
      <c r="B16" s="182" t="str">
        <f ca="1">IF(LEN(A16)=0,"",INDEX('Smelter Look-up'!$A:$A,MATCH($A16,'Smelter Look-up'!$E:$E,0)))</f>
        <v>Tin</v>
      </c>
      <c r="C16" s="186" t="str">
        <f ca="1">IF(LEN(A16)=0,"",INDEX('Smelter Look-up'!$C:$C,MATCH($A16,'Smelter Look-up'!$E:$E,0)))</f>
        <v>Malaysia Smelting Corporation (MSC)</v>
      </c>
      <c r="D16" s="233"/>
      <c r="E16" s="182" t="str">
        <f ca="1">IF(ISERROR($V16),"",OFFSET('Smelter Look-up'!$D$4,$V16-4,0)&amp;"")</f>
        <v>MALAYSIA</v>
      </c>
      <c r="F16" s="182" t="str">
        <f ca="1">IF(ISERROR($V16),"",OFFSET('Smelter Look-up'!$E$4,$V16-4,0))</f>
        <v>CID001105</v>
      </c>
      <c r="G16" s="182" t="str">
        <f ca="1">IF(C16=$X$4,IF(ISERROR($V16),"Enter smelter details","RMI"),IF(ISERROR($V16),"",OFFSET('Smelter Look-up'!$F$4,$V16-4,0)))</f>
        <v>RMI</v>
      </c>
      <c r="H16" s="183">
        <f ca="1">IF(ISERROR($V16),"",OFFSET('Smelter Look-up'!$G$4,$V16-4,0))</f>
        <v>0</v>
      </c>
      <c r="I16" s="184" t="str">
        <f ca="1">IF(ISERROR($V16),"",OFFSET('Smelter Look-up'!$H$4,$V16-4,0))</f>
        <v>Butterworth</v>
      </c>
      <c r="J16" s="184" t="str">
        <f ca="1">IF(ISERROR($V16),"",OFFSET('Smelter Look-up'!$I$4,$V16-4,0))</f>
        <v>Pulau Pinang</v>
      </c>
      <c r="K16" s="225"/>
      <c r="L16" s="225"/>
      <c r="M16" s="225"/>
      <c r="N16" s="225"/>
      <c r="O16" s="225"/>
      <c r="P16" s="185"/>
      <c r="Q16" s="226" t="s">
        <v>15657</v>
      </c>
      <c r="R16" s="182" t="str">
        <f ca="1">IF(ISERROR($V16),"",OFFSET('Smelter Look-up'!$C$4,$V16-4,0)&amp;"")</f>
        <v>Malaysia Smelting Corporation (MSC)</v>
      </c>
      <c r="S16" s="181" t="str">
        <f t="shared" ca="1" si="3"/>
        <v>MY</v>
      </c>
      <c r="T16" s="181" t="str">
        <f ca="1">IF(B16="","",IF(ISERROR(MATCH($J16,SorP!$B$1:$B$6230,0)),"",INDIRECT("'SorP'!$A$"&amp;MATCH($J16,SorP!$B$1:$B$6230,0))))</f>
        <v>MY-07</v>
      </c>
      <c r="U16" s="201"/>
      <c r="V16" s="227">
        <f ca="1">IF(C16="",NA(),IF(OR(C16="Smelter not listed",C16="Smelter not yet identified"),MATCH($B16&amp;$D16,'Smelter Look-up'!$J:$J,0),MATCH($B16&amp;$C16,'Smelter Look-up'!$J:$J,0)))</f>
        <v>457</v>
      </c>
      <c r="X16" s="228">
        <f t="shared" ca="1" si="4"/>
        <v>0</v>
      </c>
      <c r="AB16" s="229" t="str">
        <f t="shared" ca="1" si="5"/>
        <v>TinMalaysia Smelting Corporation (MSC)</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100000000000001" customHeight="1">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053403E-F513-4AA6-9A78-14507089023B}"/>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E-tec Interconnect Asia Ltd. / E-tec Interconnect AG / EMC electro mechanical components GmbH</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Ryan Chou</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ryan.chou@e-tec-asia.com.tw</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886-2-2999-2726</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Ryan Chou</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ryan.chou@e-tec.asia.com.tw</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44713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 ca="1">IF(H67=0,"","Click here to provide smelter information")</f>
        <v/>
      </c>
      <c r="E67" s="20" t="s">
        <v>807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30">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6.7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56.7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28.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56.2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0">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8.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Fabian Girolstein</cp:lastModifiedBy>
  <cp:lastPrinted>2015-04-21T20:47:43Z</cp:lastPrinted>
  <dcterms:created xsi:type="dcterms:W3CDTF">2010-06-21T21:00:23Z</dcterms:created>
  <dcterms:modified xsi:type="dcterms:W3CDTF">2022-10-12T05:47:07Z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